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fileserver\selic\LICITAÇÕES\MEUS DOCUMENTOS 2022\EDITAIS\TRE-PI-pregao-54-2022 - Serviço cabeamento estrutural\"/>
    </mc:Choice>
  </mc:AlternateContent>
  <bookViews>
    <workbookView xWindow="-105" yWindow="-105" windowWidth="38625" windowHeight="21225" tabRatio="962" firstSheet="1" activeTab="10"/>
  </bookViews>
  <sheets>
    <sheet name="DADOS DA OBRA" sheetId="551" r:id="rId1"/>
    <sheet name="RESUMO" sheetId="555" r:id="rId2"/>
    <sheet name="ORÇ. SINTÉTICO ONERADO" sheetId="220" r:id="rId3"/>
    <sheet name="ORÇ. ANÁLITICO ONERADO" sheetId="607" r:id="rId4"/>
    <sheet name="CRONOGRAMA GERAL" sheetId="561" r:id="rId5"/>
    <sheet name="CURVA ABC - SERVIÇOS" sheetId="548" r:id="rId6"/>
    <sheet name="BDI OBRA - ONERADO" sheetId="554" r:id="rId7"/>
    <sheet name="BDI DIFERENCIADO - ONERADO" sheetId="677" r:id="rId8"/>
    <sheet name="ENCARGOS SOCIAIS" sheetId="681" r:id="rId9"/>
    <sheet name="COTAÇÃO" sheetId="683" r:id="rId10"/>
    <sheet name="ORÇ. SINTÉTICO DESONERADO" sheetId="682" r:id="rId11"/>
    <sheet name="BDI OBRA - DESONERADO" sheetId="678" r:id="rId12"/>
    <sheet name="BDI DIFERENCIADO - DESONERADO" sheetId="679" r:id="rId13"/>
    <sheet name="RESUMO LEVTO" sheetId="7" state="hidden" r:id="rId14"/>
  </sheets>
  <definedNames>
    <definedName name="_xlnm._FilterDatabase" localSheetId="5" hidden="1">'CURVA ABC - SERVIÇOS'!$B$13:$J$14</definedName>
    <definedName name="_xlnm.Print_Area" localSheetId="12">'BDI DIFERENCIADO - DESONERADO'!$A$1:$Y$49</definedName>
    <definedName name="_xlnm.Print_Area" localSheetId="7">'BDI DIFERENCIADO - ONERADO'!$A$1:$Z$52</definedName>
    <definedName name="_xlnm.Print_Area" localSheetId="11">'BDI OBRA - DESONERADO'!$A$1:$Y$48</definedName>
    <definedName name="_xlnm.Print_Area" localSheetId="6">'BDI OBRA - ONERADO'!$A$1:$Z$52</definedName>
    <definedName name="_xlnm.Print_Area" localSheetId="4">'CRONOGRAMA GERAL'!$A$1:$AK$59</definedName>
    <definedName name="_xlnm.Print_Area" localSheetId="5">'CURVA ABC - SERVIÇOS'!$A$1:$J$173</definedName>
    <definedName name="_xlnm.Print_Area" localSheetId="0">'DADOS DA OBRA'!$A$1:$Q$34</definedName>
    <definedName name="_xlnm.Print_Area" localSheetId="8">'ENCARGOS SOCIAIS'!$A$1:$H$51</definedName>
    <definedName name="_xlnm.Print_Area" localSheetId="3">'ORÇ. ANÁLITICO ONERADO'!$B$1:$K$1294</definedName>
    <definedName name="_xlnm.Print_Area" localSheetId="10">'ORÇ. SINTÉTICO DESONERADO'!$B$1:$T$219</definedName>
    <definedName name="_xlnm.Print_Area" localSheetId="2">'ORÇ. SINTÉTICO ONERADO'!$B$1:$U$214</definedName>
    <definedName name="_xlnm.Print_Area" localSheetId="1">RESUMO!$A$1:$L$33</definedName>
    <definedName name="_xlnm.Print_Area" localSheetId="13">'RESUMO LEVTO'!$A$1:$R$184</definedName>
    <definedName name="_xlnm.Print_Titles" localSheetId="4">'CRONOGRAMA GERAL'!$1:$15</definedName>
    <definedName name="_xlnm.Print_Titles" localSheetId="5">'CURVA ABC - SERVIÇOS'!$1:$14</definedName>
    <definedName name="_xlnm.Print_Titles" localSheetId="3">'ORÇ. ANÁLITICO ONERADO'!$1:$10</definedName>
    <definedName name="_xlnm.Print_Titles" localSheetId="10">'ORÇ. SINTÉTICO DESONERADO'!$1:$12</definedName>
    <definedName name="_xlnm.Print_Titles" localSheetId="2">'ORÇ. SINTÉTICO ONERADO'!$1:$14</definedName>
    <definedName name="_xlnm.Print_Titles" localSheetId="1">RESUMO!$1:$15</definedName>
    <definedName name="_xlnm.Print_Titles" localSheetId="13">'RESUMO LEVTO'!$1:$15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G7" i="561" l="1"/>
  <c r="I164" i="220" l="1"/>
  <c r="I162" i="220"/>
  <c r="J203" i="220"/>
  <c r="K203" i="220"/>
  <c r="L203" i="220"/>
  <c r="G36" i="220"/>
  <c r="I163" i="220"/>
  <c r="I123" i="220"/>
  <c r="J123" i="220" s="1"/>
  <c r="I81" i="220"/>
  <c r="J82" i="220"/>
  <c r="J80" i="220"/>
  <c r="J79" i="220"/>
  <c r="I76" i="220"/>
  <c r="J77" i="220"/>
  <c r="J78" i="220"/>
  <c r="M203" i="220" l="1"/>
  <c r="B47" i="678"/>
  <c r="B47" i="554"/>
  <c r="L209" i="682" l="1"/>
  <c r="L208" i="682" s="1"/>
  <c r="K209" i="682"/>
  <c r="M209" i="682" s="1"/>
  <c r="M208" i="682" s="1"/>
  <c r="J209" i="682"/>
  <c r="J208" i="682"/>
  <c r="L207" i="682"/>
  <c r="K207" i="682"/>
  <c r="J207" i="682"/>
  <c r="L206" i="682"/>
  <c r="L205" i="682" s="1"/>
  <c r="K206" i="682"/>
  <c r="J206" i="682"/>
  <c r="J205" i="682"/>
  <c r="L204" i="682"/>
  <c r="K204" i="682"/>
  <c r="J204" i="682"/>
  <c r="L203" i="682"/>
  <c r="K203" i="682"/>
  <c r="J203" i="682"/>
  <c r="L202" i="682"/>
  <c r="K202" i="682"/>
  <c r="J202" i="682"/>
  <c r="L201" i="682"/>
  <c r="K201" i="682"/>
  <c r="J201" i="682"/>
  <c r="L200" i="682"/>
  <c r="K200" i="682"/>
  <c r="J200" i="682"/>
  <c r="L199" i="682"/>
  <c r="K199" i="682"/>
  <c r="J199" i="682"/>
  <c r="L198" i="682"/>
  <c r="K198" i="682"/>
  <c r="J198" i="682"/>
  <c r="L197" i="682"/>
  <c r="K197" i="682"/>
  <c r="J197" i="682"/>
  <c r="L196" i="682"/>
  <c r="K196" i="682"/>
  <c r="M196" i="682" s="1"/>
  <c r="J196" i="682"/>
  <c r="L195" i="682"/>
  <c r="K195" i="682"/>
  <c r="J195" i="682"/>
  <c r="L194" i="682"/>
  <c r="K194" i="682"/>
  <c r="J194" i="682"/>
  <c r="J193" i="682"/>
  <c r="L192" i="682"/>
  <c r="K192" i="682"/>
  <c r="J192" i="682"/>
  <c r="L191" i="682"/>
  <c r="K191" i="682"/>
  <c r="J191" i="682"/>
  <c r="L190" i="682"/>
  <c r="K190" i="682"/>
  <c r="J190" i="682"/>
  <c r="L189" i="682"/>
  <c r="K189" i="682"/>
  <c r="J189" i="682"/>
  <c r="L188" i="682"/>
  <c r="K188" i="682"/>
  <c r="J188" i="682"/>
  <c r="L187" i="682"/>
  <c r="K187" i="682"/>
  <c r="J187" i="682"/>
  <c r="L186" i="682"/>
  <c r="K186" i="682"/>
  <c r="J186" i="682"/>
  <c r="L185" i="682"/>
  <c r="K185" i="682"/>
  <c r="J185" i="682"/>
  <c r="L184" i="682"/>
  <c r="K184" i="682"/>
  <c r="J184" i="682"/>
  <c r="L183" i="682"/>
  <c r="K183" i="682"/>
  <c r="J183" i="682"/>
  <c r="L182" i="682"/>
  <c r="K182" i="682"/>
  <c r="J182" i="682"/>
  <c r="L181" i="682"/>
  <c r="K181" i="682"/>
  <c r="J181" i="682"/>
  <c r="J180" i="682"/>
  <c r="L179" i="682"/>
  <c r="K179" i="682"/>
  <c r="J179" i="682"/>
  <c r="L178" i="682"/>
  <c r="K178" i="682"/>
  <c r="J178" i="682"/>
  <c r="L177" i="682"/>
  <c r="K177" i="682"/>
  <c r="J177" i="682"/>
  <c r="L176" i="682"/>
  <c r="K176" i="682"/>
  <c r="J176" i="682"/>
  <c r="L175" i="682"/>
  <c r="K175" i="682"/>
  <c r="J175" i="682"/>
  <c r="L174" i="682"/>
  <c r="K174" i="682"/>
  <c r="J174" i="682"/>
  <c r="L173" i="682"/>
  <c r="K173" i="682"/>
  <c r="J173" i="682"/>
  <c r="L172" i="682"/>
  <c r="K172" i="682"/>
  <c r="J172" i="682"/>
  <c r="L171" i="682"/>
  <c r="K171" i="682"/>
  <c r="M171" i="682" s="1"/>
  <c r="J171" i="682"/>
  <c r="L170" i="682"/>
  <c r="K170" i="682"/>
  <c r="J170" i="682"/>
  <c r="L169" i="682"/>
  <c r="K169" i="682"/>
  <c r="M169" i="682" s="1"/>
  <c r="J169" i="682"/>
  <c r="L168" i="682"/>
  <c r="K168" i="682"/>
  <c r="J168" i="682"/>
  <c r="J167" i="682"/>
  <c r="L166" i="682"/>
  <c r="K166" i="682"/>
  <c r="J166" i="682"/>
  <c r="L165" i="682"/>
  <c r="K165" i="682"/>
  <c r="J165" i="682"/>
  <c r="L164" i="682"/>
  <c r="M164" i="682" s="1"/>
  <c r="K164" i="682"/>
  <c r="J164" i="682"/>
  <c r="L163" i="682"/>
  <c r="K163" i="682"/>
  <c r="J163" i="682"/>
  <c r="L162" i="682"/>
  <c r="K162" i="682"/>
  <c r="J162" i="682"/>
  <c r="J161" i="682"/>
  <c r="L160" i="682"/>
  <c r="K160" i="682"/>
  <c r="J160" i="682"/>
  <c r="L159" i="682"/>
  <c r="K159" i="682"/>
  <c r="J159" i="682"/>
  <c r="J158" i="682"/>
  <c r="L157" i="682"/>
  <c r="K157" i="682"/>
  <c r="J157" i="682"/>
  <c r="L156" i="682"/>
  <c r="K156" i="682"/>
  <c r="J156" i="682"/>
  <c r="L155" i="682"/>
  <c r="K155" i="682"/>
  <c r="J155" i="682"/>
  <c r="J154" i="682"/>
  <c r="L153" i="682"/>
  <c r="K153" i="682"/>
  <c r="J153" i="682"/>
  <c r="L152" i="682"/>
  <c r="K152" i="682"/>
  <c r="J152" i="682"/>
  <c r="L151" i="682"/>
  <c r="K151" i="682"/>
  <c r="J151" i="682"/>
  <c r="L150" i="682"/>
  <c r="K150" i="682"/>
  <c r="J150" i="682"/>
  <c r="L149" i="682"/>
  <c r="K149" i="682"/>
  <c r="J149" i="682"/>
  <c r="L148" i="682"/>
  <c r="K148" i="682"/>
  <c r="J148" i="682"/>
  <c r="L147" i="682"/>
  <c r="K147" i="682"/>
  <c r="J147" i="682"/>
  <c r="L146" i="682"/>
  <c r="K146" i="682"/>
  <c r="J146" i="682"/>
  <c r="L145" i="682"/>
  <c r="K145" i="682"/>
  <c r="M145" i="682" s="1"/>
  <c r="J145" i="682"/>
  <c r="J144" i="682"/>
  <c r="L143" i="682"/>
  <c r="K143" i="682"/>
  <c r="J143" i="682"/>
  <c r="L142" i="682"/>
  <c r="K142" i="682"/>
  <c r="J142" i="682"/>
  <c r="L141" i="682"/>
  <c r="K141" i="682"/>
  <c r="M141" i="682" s="1"/>
  <c r="J141" i="682"/>
  <c r="L140" i="682"/>
  <c r="K140" i="682"/>
  <c r="J140" i="682"/>
  <c r="J139" i="682"/>
  <c r="L138" i="682"/>
  <c r="K138" i="682"/>
  <c r="J138" i="682"/>
  <c r="L137" i="682"/>
  <c r="K137" i="682"/>
  <c r="J137" i="682"/>
  <c r="L136" i="682"/>
  <c r="K136" i="682"/>
  <c r="J136" i="682"/>
  <c r="L135" i="682"/>
  <c r="K135" i="682"/>
  <c r="M135" i="682" s="1"/>
  <c r="J135" i="682"/>
  <c r="J134" i="682"/>
  <c r="L133" i="682"/>
  <c r="K133" i="682"/>
  <c r="J133" i="682"/>
  <c r="L132" i="682"/>
  <c r="K132" i="682"/>
  <c r="J132" i="682"/>
  <c r="J130" i="682"/>
  <c r="L128" i="682"/>
  <c r="K128" i="682"/>
  <c r="J128" i="682"/>
  <c r="L127" i="682"/>
  <c r="K127" i="682"/>
  <c r="M127" i="682" s="1"/>
  <c r="J127" i="682"/>
  <c r="L126" i="682"/>
  <c r="K126" i="682"/>
  <c r="J126" i="682"/>
  <c r="L125" i="682"/>
  <c r="K125" i="682"/>
  <c r="J125" i="682"/>
  <c r="L124" i="682"/>
  <c r="K124" i="682"/>
  <c r="J124" i="682"/>
  <c r="L123" i="682"/>
  <c r="K123" i="682"/>
  <c r="J123" i="682"/>
  <c r="J122" i="682"/>
  <c r="L120" i="682"/>
  <c r="K120" i="682"/>
  <c r="J120" i="682"/>
  <c r="L119" i="682"/>
  <c r="K119" i="682"/>
  <c r="J119" i="682"/>
  <c r="L118" i="682"/>
  <c r="K118" i="682"/>
  <c r="J118" i="682"/>
  <c r="L117" i="682"/>
  <c r="K117" i="682"/>
  <c r="J117" i="682"/>
  <c r="L116" i="682"/>
  <c r="K116" i="682"/>
  <c r="J116" i="682"/>
  <c r="L115" i="682"/>
  <c r="K115" i="682"/>
  <c r="J115" i="682"/>
  <c r="L114" i="682"/>
  <c r="K114" i="682"/>
  <c r="J114" i="682"/>
  <c r="L113" i="682"/>
  <c r="K113" i="682"/>
  <c r="J113" i="682"/>
  <c r="L112" i="682"/>
  <c r="K112" i="682"/>
  <c r="J112" i="682"/>
  <c r="L111" i="682"/>
  <c r="K111" i="682"/>
  <c r="J111" i="682"/>
  <c r="L109" i="682"/>
  <c r="K109" i="682"/>
  <c r="J109" i="682"/>
  <c r="L108" i="682"/>
  <c r="K108" i="682"/>
  <c r="J108" i="682"/>
  <c r="L107" i="682"/>
  <c r="K107" i="682"/>
  <c r="J107" i="682"/>
  <c r="L106" i="682"/>
  <c r="K106" i="682"/>
  <c r="J106" i="682"/>
  <c r="J105" i="682"/>
  <c r="L104" i="682"/>
  <c r="K104" i="682"/>
  <c r="J104" i="682"/>
  <c r="L103" i="682"/>
  <c r="K103" i="682"/>
  <c r="J103" i="682"/>
  <c r="L102" i="682"/>
  <c r="K102" i="682"/>
  <c r="J102" i="682"/>
  <c r="L101" i="682"/>
  <c r="K101" i="682"/>
  <c r="J101" i="682"/>
  <c r="L100" i="682"/>
  <c r="K100" i="682"/>
  <c r="J100" i="682"/>
  <c r="L99" i="682"/>
  <c r="K99" i="682"/>
  <c r="M99" i="682" s="1"/>
  <c r="J99" i="682"/>
  <c r="L98" i="682"/>
  <c r="K98" i="682"/>
  <c r="J98" i="682"/>
  <c r="L97" i="682"/>
  <c r="K97" i="682"/>
  <c r="J97" i="682"/>
  <c r="L96" i="682"/>
  <c r="K96" i="682"/>
  <c r="J96" i="682"/>
  <c r="L95" i="682"/>
  <c r="K95" i="682"/>
  <c r="J95" i="682"/>
  <c r="L94" i="682"/>
  <c r="K94" i="682"/>
  <c r="J94" i="682"/>
  <c r="L93" i="682"/>
  <c r="K93" i="682"/>
  <c r="J93" i="682"/>
  <c r="L92" i="682"/>
  <c r="K92" i="682"/>
  <c r="J92" i="682"/>
  <c r="L91" i="682"/>
  <c r="K91" i="682"/>
  <c r="J91" i="682"/>
  <c r="L90" i="682"/>
  <c r="K90" i="682"/>
  <c r="J90" i="682"/>
  <c r="L89" i="682"/>
  <c r="K89" i="682"/>
  <c r="J89" i="682"/>
  <c r="J88" i="682"/>
  <c r="L86" i="682"/>
  <c r="K86" i="682"/>
  <c r="J86" i="682"/>
  <c r="L85" i="682"/>
  <c r="M85" i="682" s="1"/>
  <c r="K85" i="682"/>
  <c r="J85" i="682"/>
  <c r="L84" i="682"/>
  <c r="K84" i="682"/>
  <c r="J84" i="682"/>
  <c r="L83" i="682"/>
  <c r="K83" i="682"/>
  <c r="J83" i="682"/>
  <c r="L82" i="682"/>
  <c r="K82" i="682"/>
  <c r="M82" i="682" s="1"/>
  <c r="J82" i="682"/>
  <c r="L81" i="682"/>
  <c r="K81" i="682"/>
  <c r="J81" i="682"/>
  <c r="L80" i="682"/>
  <c r="K80" i="682"/>
  <c r="J80" i="682"/>
  <c r="L79" i="682"/>
  <c r="K79" i="682"/>
  <c r="J79" i="682"/>
  <c r="L78" i="682"/>
  <c r="K78" i="682"/>
  <c r="J78" i="682"/>
  <c r="L77" i="682"/>
  <c r="K77" i="682"/>
  <c r="J77" i="682"/>
  <c r="J76" i="682"/>
  <c r="L74" i="682"/>
  <c r="K74" i="682"/>
  <c r="J74" i="682"/>
  <c r="L73" i="682"/>
  <c r="K73" i="682"/>
  <c r="J73" i="682"/>
  <c r="L72" i="682"/>
  <c r="K72" i="682"/>
  <c r="J72" i="682"/>
  <c r="L71" i="682"/>
  <c r="K71" i="682"/>
  <c r="M71" i="682" s="1"/>
  <c r="J71" i="682"/>
  <c r="L70" i="682"/>
  <c r="K70" i="682"/>
  <c r="J70" i="682"/>
  <c r="J69" i="682"/>
  <c r="L67" i="682"/>
  <c r="K67" i="682"/>
  <c r="J67" i="682"/>
  <c r="L66" i="682"/>
  <c r="K66" i="682"/>
  <c r="J66" i="682"/>
  <c r="L65" i="682"/>
  <c r="K65" i="682"/>
  <c r="J65" i="682"/>
  <c r="L64" i="682"/>
  <c r="K64" i="682"/>
  <c r="M64" i="682" s="1"/>
  <c r="J64" i="682"/>
  <c r="L63" i="682"/>
  <c r="K63" i="682"/>
  <c r="J63" i="682"/>
  <c r="L62" i="682"/>
  <c r="K62" i="682"/>
  <c r="J62" i="682"/>
  <c r="J61" i="682"/>
  <c r="L60" i="682"/>
  <c r="K60" i="682"/>
  <c r="J60" i="682"/>
  <c r="L59" i="682"/>
  <c r="K59" i="682"/>
  <c r="J59" i="682"/>
  <c r="L58" i="682"/>
  <c r="K58" i="682"/>
  <c r="M58" i="682" s="1"/>
  <c r="J58" i="682"/>
  <c r="L57" i="682"/>
  <c r="K57" i="682"/>
  <c r="J57" i="682"/>
  <c r="L56" i="682"/>
  <c r="K56" i="682"/>
  <c r="M56" i="682" s="1"/>
  <c r="J56" i="682"/>
  <c r="L55" i="682"/>
  <c r="K55" i="682"/>
  <c r="J55" i="682"/>
  <c r="L54" i="682"/>
  <c r="K54" i="682"/>
  <c r="M54" i="682" s="1"/>
  <c r="J54" i="682"/>
  <c r="L50" i="682"/>
  <c r="K50" i="682"/>
  <c r="J50" i="682"/>
  <c r="L49" i="682"/>
  <c r="K49" i="682"/>
  <c r="J49" i="682"/>
  <c r="L48" i="682"/>
  <c r="K48" i="682"/>
  <c r="J48" i="682"/>
  <c r="L47" i="682"/>
  <c r="K47" i="682"/>
  <c r="J47" i="682"/>
  <c r="L46" i="682"/>
  <c r="K46" i="682"/>
  <c r="J46" i="682"/>
  <c r="L45" i="682"/>
  <c r="K45" i="682"/>
  <c r="M45" i="682" s="1"/>
  <c r="J45" i="682"/>
  <c r="L42" i="682"/>
  <c r="K42" i="682"/>
  <c r="J42" i="682"/>
  <c r="L41" i="682"/>
  <c r="K41" i="682"/>
  <c r="J41" i="682"/>
  <c r="L40" i="682"/>
  <c r="K40" i="682"/>
  <c r="J40" i="682"/>
  <c r="L39" i="682"/>
  <c r="K39" i="682"/>
  <c r="J39" i="682"/>
  <c r="L38" i="682"/>
  <c r="K38" i="682"/>
  <c r="J38" i="682"/>
  <c r="J37" i="682"/>
  <c r="G37" i="682"/>
  <c r="L37" i="682" s="1"/>
  <c r="J36" i="682"/>
  <c r="G36" i="682"/>
  <c r="K36" i="682" s="1"/>
  <c r="J35" i="682"/>
  <c r="G35" i="682"/>
  <c r="K35" i="682" s="1"/>
  <c r="J34" i="682"/>
  <c r="G34" i="682"/>
  <c r="L34" i="682" s="1"/>
  <c r="L33" i="682"/>
  <c r="K33" i="682"/>
  <c r="J33" i="682"/>
  <c r="L32" i="682"/>
  <c r="K32" i="682"/>
  <c r="J32" i="682"/>
  <c r="L31" i="682"/>
  <c r="K31" i="682"/>
  <c r="J31" i="682"/>
  <c r="L30" i="682"/>
  <c r="K30" i="682"/>
  <c r="J30" i="682"/>
  <c r="L27" i="682"/>
  <c r="K27" i="682"/>
  <c r="J27" i="682"/>
  <c r="L26" i="682"/>
  <c r="K26" i="682"/>
  <c r="J26" i="682"/>
  <c r="L25" i="682"/>
  <c r="K25" i="682"/>
  <c r="J25" i="682"/>
  <c r="L24" i="682"/>
  <c r="K24" i="682"/>
  <c r="J24" i="682"/>
  <c r="L23" i="682"/>
  <c r="K23" i="682"/>
  <c r="M23" i="682" s="1"/>
  <c r="J23" i="682"/>
  <c r="L22" i="682"/>
  <c r="K22" i="682"/>
  <c r="J22" i="682"/>
  <c r="L19" i="682"/>
  <c r="K19" i="682"/>
  <c r="J19" i="682"/>
  <c r="L18" i="682"/>
  <c r="K18" i="682"/>
  <c r="J18" i="682"/>
  <c r="L17" i="682"/>
  <c r="K17" i="682"/>
  <c r="M17" i="682" s="1"/>
  <c r="J17" i="682"/>
  <c r="J73" i="220"/>
  <c r="K73" i="220"/>
  <c r="L73" i="220"/>
  <c r="J41" i="220"/>
  <c r="K41" i="220"/>
  <c r="L41" i="220"/>
  <c r="M90" i="682" l="1"/>
  <c r="M204" i="682"/>
  <c r="M173" i="682"/>
  <c r="M197" i="682"/>
  <c r="M185" i="682"/>
  <c r="M188" i="682"/>
  <c r="M102" i="682"/>
  <c r="M74" i="682"/>
  <c r="M123" i="682"/>
  <c r="M95" i="682"/>
  <c r="M109" i="682"/>
  <c r="M189" i="682"/>
  <c r="M195" i="682"/>
  <c r="M170" i="682"/>
  <c r="M178" i="682"/>
  <c r="M201" i="682"/>
  <c r="M94" i="682"/>
  <c r="M153" i="682"/>
  <c r="M22" i="682"/>
  <c r="M32" i="682"/>
  <c r="M100" i="682"/>
  <c r="M115" i="682"/>
  <c r="M142" i="682"/>
  <c r="M200" i="682"/>
  <c r="M206" i="682"/>
  <c r="M205" i="682" s="1"/>
  <c r="M207" i="682"/>
  <c r="M48" i="682"/>
  <c r="M65" i="682"/>
  <c r="M72" i="682"/>
  <c r="M84" i="682"/>
  <c r="M91" i="682"/>
  <c r="M96" i="682"/>
  <c r="M199" i="682"/>
  <c r="M111" i="682"/>
  <c r="M143" i="682"/>
  <c r="K180" i="682"/>
  <c r="M49" i="682"/>
  <c r="M77" i="682"/>
  <c r="M30" i="682"/>
  <c r="M120" i="682"/>
  <c r="M150" i="682"/>
  <c r="M156" i="682"/>
  <c r="M165" i="682"/>
  <c r="M182" i="682"/>
  <c r="M73" i="220"/>
  <c r="K16" i="682"/>
  <c r="M67" i="682"/>
  <c r="M24" i="682"/>
  <c r="M50" i="682"/>
  <c r="M66" i="682"/>
  <c r="L69" i="682"/>
  <c r="M73" i="682"/>
  <c r="M92" i="682"/>
  <c r="M114" i="682"/>
  <c r="M126" i="682"/>
  <c r="M137" i="682"/>
  <c r="M149" i="682"/>
  <c r="L154" i="682"/>
  <c r="M172" i="682"/>
  <c r="M177" i="682"/>
  <c r="M202" i="682"/>
  <c r="M103" i="682"/>
  <c r="L144" i="682"/>
  <c r="M175" i="682"/>
  <c r="L36" i="682"/>
  <c r="M36" i="682" s="1"/>
  <c r="M63" i="682"/>
  <c r="M136" i="682"/>
  <c r="M148" i="682"/>
  <c r="M160" i="682"/>
  <c r="K61" i="682"/>
  <c r="L105" i="682"/>
  <c r="M132" i="682"/>
  <c r="L161" i="682"/>
  <c r="L44" i="682"/>
  <c r="M60" i="682"/>
  <c r="M104" i="682"/>
  <c r="M146" i="682"/>
  <c r="M166" i="682"/>
  <c r="M33" i="682"/>
  <c r="M42" i="682"/>
  <c r="M19" i="682"/>
  <c r="M25" i="682"/>
  <c r="M39" i="682"/>
  <c r="M40" i="682"/>
  <c r="M93" i="682"/>
  <c r="M117" i="682"/>
  <c r="M186" i="682"/>
  <c r="M70" i="682"/>
  <c r="M78" i="682"/>
  <c r="L180" i="682"/>
  <c r="M108" i="682"/>
  <c r="M183" i="682"/>
  <c r="K21" i="682"/>
  <c r="M80" i="682"/>
  <c r="M191" i="682"/>
  <c r="K69" i="682"/>
  <c r="M118" i="682"/>
  <c r="M38" i="682"/>
  <c r="M59" i="682"/>
  <c r="L21" i="682"/>
  <c r="M55" i="682"/>
  <c r="K76" i="682"/>
  <c r="K139" i="682"/>
  <c r="M140" i="682"/>
  <c r="M139" i="682" s="1"/>
  <c r="L16" i="682"/>
  <c r="M26" i="682"/>
  <c r="M47" i="682"/>
  <c r="M57" i="682"/>
  <c r="M79" i="682"/>
  <c r="M155" i="682"/>
  <c r="K154" i="682"/>
  <c r="M157" i="682"/>
  <c r="M190" i="682"/>
  <c r="M147" i="682"/>
  <c r="M174" i="682"/>
  <c r="M179" i="682"/>
  <c r="M192" i="682"/>
  <c r="M203" i="682"/>
  <c r="L193" i="682"/>
  <c r="M86" i="682"/>
  <c r="M97" i="682"/>
  <c r="M101" i="682"/>
  <c r="M113" i="682"/>
  <c r="M119" i="682"/>
  <c r="M124" i="682"/>
  <c r="M125" i="682"/>
  <c r="M163" i="682"/>
  <c r="M187" i="682"/>
  <c r="K205" i="682"/>
  <c r="K208" i="682"/>
  <c r="K122" i="682"/>
  <c r="M198" i="682"/>
  <c r="K34" i="682"/>
  <c r="M34" i="682" s="1"/>
  <c r="M31" i="682"/>
  <c r="L35" i="682"/>
  <c r="M46" i="682"/>
  <c r="L53" i="682"/>
  <c r="M81" i="682"/>
  <c r="M98" i="682"/>
  <c r="L110" i="682"/>
  <c r="K144" i="682"/>
  <c r="K161" i="682"/>
  <c r="M162" i="682"/>
  <c r="M27" i="682"/>
  <c r="M21" i="682" s="1"/>
  <c r="K105" i="682"/>
  <c r="K134" i="682"/>
  <c r="M138" i="682"/>
  <c r="M181" i="682"/>
  <c r="L139" i="682"/>
  <c r="K193" i="682"/>
  <c r="M194" i="682"/>
  <c r="M18" i="682"/>
  <c r="M83" i="682"/>
  <c r="M107" i="682"/>
  <c r="L88" i="682"/>
  <c r="M112" i="682"/>
  <c r="M152" i="682"/>
  <c r="K88" i="682"/>
  <c r="M89" i="682"/>
  <c r="L131" i="682"/>
  <c r="K131" i="682"/>
  <c r="M133" i="682"/>
  <c r="K37" i="682"/>
  <c r="M37" i="682" s="1"/>
  <c r="L61" i="682"/>
  <c r="M41" i="682"/>
  <c r="K44" i="682"/>
  <c r="K53" i="682"/>
  <c r="K52" i="682" s="1"/>
  <c r="M62" i="682"/>
  <c r="L76" i="682"/>
  <c r="K110" i="682"/>
  <c r="M116" i="682"/>
  <c r="L122" i="682"/>
  <c r="M128" i="682"/>
  <c r="M151" i="682"/>
  <c r="L167" i="682"/>
  <c r="M184" i="682"/>
  <c r="M176" i="682"/>
  <c r="M168" i="682"/>
  <c r="K167" i="682"/>
  <c r="K158" i="682"/>
  <c r="L158" i="682"/>
  <c r="M106" i="682"/>
  <c r="L134" i="682"/>
  <c r="M159" i="682"/>
  <c r="M41" i="220"/>
  <c r="J72" i="220"/>
  <c r="K72" i="220"/>
  <c r="L72" i="220"/>
  <c r="J38" i="220"/>
  <c r="K38" i="220"/>
  <c r="L38" i="220"/>
  <c r="J39" i="220"/>
  <c r="K39" i="220"/>
  <c r="L39" i="220"/>
  <c r="J40" i="220"/>
  <c r="K40" i="220"/>
  <c r="L40" i="220"/>
  <c r="G35" i="220"/>
  <c r="M161" i="682" l="1"/>
  <c r="M53" i="682"/>
  <c r="M61" i="682"/>
  <c r="M52" i="682" s="1"/>
  <c r="M69" i="682"/>
  <c r="M158" i="682"/>
  <c r="M16" i="682"/>
  <c r="L29" i="682"/>
  <c r="M134" i="682"/>
  <c r="M131" i="682"/>
  <c r="M72" i="220"/>
  <c r="M88" i="682"/>
  <c r="M122" i="682"/>
  <c r="M167" i="682"/>
  <c r="M105" i="682"/>
  <c r="M193" i="682"/>
  <c r="M76" i="682"/>
  <c r="M110" i="682"/>
  <c r="M44" i="682"/>
  <c r="M144" i="682"/>
  <c r="M154" i="682"/>
  <c r="M35" i="682"/>
  <c r="M29" i="682" s="1"/>
  <c r="M180" i="682"/>
  <c r="K130" i="682"/>
  <c r="L52" i="682"/>
  <c r="L130" i="682"/>
  <c r="K29" i="682"/>
  <c r="M38" i="220"/>
  <c r="M40" i="220"/>
  <c r="M39" i="220"/>
  <c r="K212" i="682" l="1"/>
  <c r="L212" i="682"/>
  <c r="M130" i="682"/>
  <c r="M212" i="682" s="1"/>
  <c r="G34" i="220" l="1"/>
  <c r="J37" i="220"/>
  <c r="K37" i="220"/>
  <c r="L37" i="220"/>
  <c r="J46" i="220"/>
  <c r="K46" i="220"/>
  <c r="L46" i="220"/>
  <c r="J47" i="220"/>
  <c r="K47" i="220"/>
  <c r="L47" i="220"/>
  <c r="J48" i="220"/>
  <c r="K48" i="220"/>
  <c r="L48" i="220"/>
  <c r="J49" i="220"/>
  <c r="K49" i="220"/>
  <c r="L49" i="220"/>
  <c r="M49" i="220" l="1"/>
  <c r="M46" i="220"/>
  <c r="M47" i="220"/>
  <c r="M37" i="220"/>
  <c r="M48" i="220"/>
  <c r="J45" i="220"/>
  <c r="K45" i="220"/>
  <c r="L45" i="220"/>
  <c r="J118" i="220"/>
  <c r="K118" i="220"/>
  <c r="L118" i="220"/>
  <c r="J119" i="220"/>
  <c r="K119" i="220"/>
  <c r="L119" i="220"/>
  <c r="J127" i="220"/>
  <c r="K127" i="220"/>
  <c r="L127" i="220"/>
  <c r="M45" i="220" l="1"/>
  <c r="M118" i="220"/>
  <c r="M119" i="220"/>
  <c r="M127" i="220"/>
  <c r="G33" i="220" l="1"/>
  <c r="H172" i="548" l="1"/>
  <c r="K36" i="220"/>
  <c r="J36" i="220"/>
  <c r="I164" i="548" l="1"/>
  <c r="I166" i="548"/>
  <c r="I167" i="548"/>
  <c r="I169" i="548"/>
  <c r="I170" i="548"/>
  <c r="I171" i="548"/>
  <c r="I165" i="548"/>
  <c r="I168" i="548"/>
  <c r="I135" i="548"/>
  <c r="I143" i="548"/>
  <c r="I151" i="548"/>
  <c r="I159" i="548"/>
  <c r="I146" i="548"/>
  <c r="I163" i="548"/>
  <c r="I156" i="548"/>
  <c r="I141" i="548"/>
  <c r="I150" i="548"/>
  <c r="I136" i="548"/>
  <c r="I144" i="548"/>
  <c r="I152" i="548"/>
  <c r="I160" i="548"/>
  <c r="I154" i="548"/>
  <c r="I139" i="548"/>
  <c r="I155" i="548"/>
  <c r="I140" i="548"/>
  <c r="I149" i="548"/>
  <c r="I137" i="548"/>
  <c r="I145" i="548"/>
  <c r="I153" i="548"/>
  <c r="I161" i="548"/>
  <c r="I138" i="548"/>
  <c r="I162" i="548"/>
  <c r="I147" i="548"/>
  <c r="I148" i="548"/>
  <c r="I157" i="548"/>
  <c r="I158" i="548"/>
  <c r="I142" i="548"/>
  <c r="I15" i="548"/>
  <c r="I23" i="548"/>
  <c r="I31" i="548"/>
  <c r="I39" i="548"/>
  <c r="I47" i="548"/>
  <c r="I55" i="548"/>
  <c r="I63" i="548"/>
  <c r="I71" i="548"/>
  <c r="I79" i="548"/>
  <c r="I87" i="548"/>
  <c r="I95" i="548"/>
  <c r="I103" i="548"/>
  <c r="I111" i="548"/>
  <c r="I119" i="548"/>
  <c r="I127" i="548"/>
  <c r="I53" i="548"/>
  <c r="I93" i="548"/>
  <c r="I125" i="548"/>
  <c r="I46" i="548"/>
  <c r="I70" i="548"/>
  <c r="I86" i="548"/>
  <c r="I110" i="548"/>
  <c r="I16" i="548"/>
  <c r="I24" i="548"/>
  <c r="I32" i="548"/>
  <c r="I40" i="548"/>
  <c r="I48" i="548"/>
  <c r="I56" i="548"/>
  <c r="I64" i="548"/>
  <c r="I72" i="548"/>
  <c r="I80" i="548"/>
  <c r="I88" i="548"/>
  <c r="I96" i="548"/>
  <c r="I104" i="548"/>
  <c r="I112" i="548"/>
  <c r="I120" i="548"/>
  <c r="I128" i="548"/>
  <c r="I18" i="548"/>
  <c r="I34" i="548"/>
  <c r="I50" i="548"/>
  <c r="I66" i="548"/>
  <c r="I82" i="548"/>
  <c r="I98" i="548"/>
  <c r="I114" i="548"/>
  <c r="I130" i="548"/>
  <c r="I27" i="548"/>
  <c r="I43" i="548"/>
  <c r="I59" i="548"/>
  <c r="I75" i="548"/>
  <c r="I91" i="548"/>
  <c r="I107" i="548"/>
  <c r="I123" i="548"/>
  <c r="I28" i="548"/>
  <c r="I44" i="548"/>
  <c r="I60" i="548"/>
  <c r="I76" i="548"/>
  <c r="I92" i="548"/>
  <c r="I108" i="548"/>
  <c r="I124" i="548"/>
  <c r="I21" i="548"/>
  <c r="I37" i="548"/>
  <c r="I61" i="548"/>
  <c r="I77" i="548"/>
  <c r="I101" i="548"/>
  <c r="I117" i="548"/>
  <c r="I30" i="548"/>
  <c r="I62" i="548"/>
  <c r="I94" i="548"/>
  <c r="I118" i="548"/>
  <c r="I17" i="548"/>
  <c r="I25" i="548"/>
  <c r="I33" i="548"/>
  <c r="I41" i="548"/>
  <c r="I49" i="548"/>
  <c r="I57" i="548"/>
  <c r="I65" i="548"/>
  <c r="I73" i="548"/>
  <c r="I81" i="548"/>
  <c r="I89" i="548"/>
  <c r="I97" i="548"/>
  <c r="I105" i="548"/>
  <c r="I113" i="548"/>
  <c r="I121" i="548"/>
  <c r="I129" i="548"/>
  <c r="I26" i="548"/>
  <c r="I42" i="548"/>
  <c r="I58" i="548"/>
  <c r="I74" i="548"/>
  <c r="I90" i="548"/>
  <c r="I106" i="548"/>
  <c r="I122" i="548"/>
  <c r="I19" i="548"/>
  <c r="I35" i="548"/>
  <c r="I51" i="548"/>
  <c r="I67" i="548"/>
  <c r="I83" i="548"/>
  <c r="I99" i="548"/>
  <c r="I115" i="548"/>
  <c r="I131" i="548"/>
  <c r="I20" i="548"/>
  <c r="I36" i="548"/>
  <c r="I52" i="548"/>
  <c r="I68" i="548"/>
  <c r="I84" i="548"/>
  <c r="I100" i="548"/>
  <c r="I116" i="548"/>
  <c r="I132" i="548"/>
  <c r="I29" i="548"/>
  <c r="I45" i="548"/>
  <c r="I69" i="548"/>
  <c r="I85" i="548"/>
  <c r="I109" i="548"/>
  <c r="I133" i="548"/>
  <c r="I38" i="548"/>
  <c r="I54" i="548"/>
  <c r="I78" i="548"/>
  <c r="I102" i="548"/>
  <c r="I126" i="548"/>
  <c r="I22" i="548"/>
  <c r="I134" i="548"/>
  <c r="L36" i="220"/>
  <c r="M36" i="220" s="1"/>
  <c r="J199" i="220"/>
  <c r="K199" i="220"/>
  <c r="L199" i="220"/>
  <c r="J186" i="220"/>
  <c r="K186" i="220"/>
  <c r="L186" i="220"/>
  <c r="J173" i="220"/>
  <c r="K173" i="220"/>
  <c r="L173" i="220"/>
  <c r="J126" i="220"/>
  <c r="K126" i="220"/>
  <c r="L126" i="220"/>
  <c r="M199" i="220" l="1"/>
  <c r="M186" i="220"/>
  <c r="M173" i="220"/>
  <c r="M126" i="220"/>
  <c r="K35" i="220"/>
  <c r="K34" i="220"/>
  <c r="K31" i="220"/>
  <c r="J31" i="220"/>
  <c r="J32" i="220"/>
  <c r="J33" i="220"/>
  <c r="J34" i="220"/>
  <c r="J35" i="220"/>
  <c r="K180" i="220"/>
  <c r="L31" i="220" l="1"/>
  <c r="M31" i="220" s="1"/>
  <c r="L35" i="220"/>
  <c r="M35" i="220" s="1"/>
  <c r="L33" i="220"/>
  <c r="K33" i="220"/>
  <c r="L34" i="220"/>
  <c r="M33" i="220" l="1"/>
  <c r="L32" i="220"/>
  <c r="K32" i="220"/>
  <c r="M34" i="220"/>
  <c r="J26" i="220"/>
  <c r="K26" i="220"/>
  <c r="L26" i="220"/>
  <c r="J124" i="220"/>
  <c r="K124" i="220"/>
  <c r="L124" i="220"/>
  <c r="J125" i="220"/>
  <c r="K125" i="220"/>
  <c r="L125" i="220"/>
  <c r="J165" i="220"/>
  <c r="K165" i="220"/>
  <c r="L165" i="220"/>
  <c r="J84" i="220"/>
  <c r="K84" i="220"/>
  <c r="L84" i="220"/>
  <c r="J85" i="220"/>
  <c r="K85" i="220"/>
  <c r="L85" i="220"/>
  <c r="J178" i="220"/>
  <c r="K178" i="220"/>
  <c r="L178" i="220"/>
  <c r="J191" i="220"/>
  <c r="K191" i="220"/>
  <c r="L191" i="220"/>
  <c r="J204" i="220"/>
  <c r="K204" i="220"/>
  <c r="L204" i="220"/>
  <c r="K123" i="220"/>
  <c r="L123" i="220"/>
  <c r="G10" i="683"/>
  <c r="M32" i="220" l="1"/>
  <c r="M26" i="220"/>
  <c r="M165" i="220"/>
  <c r="M125" i="220"/>
  <c r="M124" i="220"/>
  <c r="M84" i="220"/>
  <c r="M85" i="220"/>
  <c r="M178" i="220"/>
  <c r="M191" i="220"/>
  <c r="M204" i="220"/>
  <c r="M123" i="220"/>
  <c r="J155" i="220"/>
  <c r="K155" i="220"/>
  <c r="L155" i="220"/>
  <c r="J156" i="220"/>
  <c r="K156" i="220"/>
  <c r="L156" i="220"/>
  <c r="J190" i="220"/>
  <c r="K190" i="220"/>
  <c r="L190" i="220"/>
  <c r="J177" i="220"/>
  <c r="K177" i="220"/>
  <c r="L177" i="220"/>
  <c r="J162" i="220"/>
  <c r="K162" i="220"/>
  <c r="L162" i="220"/>
  <c r="J163" i="220"/>
  <c r="K163" i="220"/>
  <c r="L163" i="220"/>
  <c r="M155" i="220" l="1"/>
  <c r="M156" i="220"/>
  <c r="M190" i="220"/>
  <c r="M177" i="220"/>
  <c r="M163" i="220"/>
  <c r="M162" i="220"/>
  <c r="D54" i="561" l="1"/>
  <c r="D51" i="561"/>
  <c r="D48" i="561"/>
  <c r="D45" i="561"/>
  <c r="D42" i="561"/>
  <c r="D39" i="561"/>
  <c r="D36" i="561"/>
  <c r="D33" i="561"/>
  <c r="D30" i="561"/>
  <c r="D27" i="561"/>
  <c r="D24" i="561"/>
  <c r="D18" i="561"/>
  <c r="C52" i="561"/>
  <c r="C49" i="561"/>
  <c r="C46" i="561"/>
  <c r="C43" i="561"/>
  <c r="C40" i="561"/>
  <c r="C37" i="561"/>
  <c r="C34" i="561"/>
  <c r="C16" i="561"/>
  <c r="C19" i="561"/>
  <c r="C22" i="561"/>
  <c r="C25" i="561"/>
  <c r="C28" i="561"/>
  <c r="J208" i="220"/>
  <c r="J205" i="220"/>
  <c r="J192" i="220"/>
  <c r="J181" i="220"/>
  <c r="K181" i="220"/>
  <c r="L181" i="220"/>
  <c r="J182" i="220"/>
  <c r="K182" i="220"/>
  <c r="L182" i="220"/>
  <c r="J183" i="220"/>
  <c r="K183" i="220"/>
  <c r="L183" i="220"/>
  <c r="J184" i="220"/>
  <c r="K184" i="220"/>
  <c r="L184" i="220"/>
  <c r="J185" i="220"/>
  <c r="K185" i="220"/>
  <c r="L185" i="220"/>
  <c r="J187" i="220"/>
  <c r="K187" i="220"/>
  <c r="L187" i="220"/>
  <c r="J188" i="220"/>
  <c r="K188" i="220"/>
  <c r="L188" i="220"/>
  <c r="J189" i="220"/>
  <c r="K189" i="220"/>
  <c r="L189" i="220"/>
  <c r="J193" i="220"/>
  <c r="K193" i="220"/>
  <c r="L193" i="220"/>
  <c r="J194" i="220"/>
  <c r="K194" i="220"/>
  <c r="L194" i="220"/>
  <c r="J195" i="220"/>
  <c r="K195" i="220"/>
  <c r="L195" i="220"/>
  <c r="J196" i="220"/>
  <c r="K196" i="220"/>
  <c r="L196" i="220"/>
  <c r="J197" i="220"/>
  <c r="K197" i="220"/>
  <c r="L197" i="220"/>
  <c r="J198" i="220"/>
  <c r="K198" i="220"/>
  <c r="L198" i="220"/>
  <c r="J200" i="220"/>
  <c r="K200" i="220"/>
  <c r="L200" i="220"/>
  <c r="J201" i="220"/>
  <c r="K201" i="220"/>
  <c r="L201" i="220"/>
  <c r="J202" i="220"/>
  <c r="K202" i="220"/>
  <c r="L202" i="220"/>
  <c r="J206" i="220"/>
  <c r="K206" i="220"/>
  <c r="K205" i="220" s="1"/>
  <c r="L206" i="220"/>
  <c r="L205" i="220" s="1"/>
  <c r="J207" i="220"/>
  <c r="K207" i="220"/>
  <c r="L207" i="220"/>
  <c r="J209" i="220"/>
  <c r="K209" i="220"/>
  <c r="K208" i="220" s="1"/>
  <c r="E28" i="555" s="1"/>
  <c r="L209" i="220"/>
  <c r="L208" i="220" s="1"/>
  <c r="F28" i="555" s="1"/>
  <c r="L180" i="220"/>
  <c r="J180" i="220"/>
  <c r="J179" i="220"/>
  <c r="J166" i="220"/>
  <c r="J160" i="220"/>
  <c r="J157" i="220"/>
  <c r="J153" i="220"/>
  <c r="J154" i="220"/>
  <c r="K154" i="220"/>
  <c r="L154" i="220"/>
  <c r="J158" i="220"/>
  <c r="K158" i="220"/>
  <c r="L158" i="220"/>
  <c r="J159" i="220"/>
  <c r="K159" i="220"/>
  <c r="L159" i="220"/>
  <c r="J161" i="220"/>
  <c r="K161" i="220"/>
  <c r="L161" i="220"/>
  <c r="J164" i="220"/>
  <c r="K164" i="220"/>
  <c r="L164" i="220"/>
  <c r="J167" i="220"/>
  <c r="K167" i="220"/>
  <c r="L167" i="220"/>
  <c r="J168" i="220"/>
  <c r="K168" i="220"/>
  <c r="L168" i="220"/>
  <c r="J169" i="220"/>
  <c r="K169" i="220"/>
  <c r="L169" i="220"/>
  <c r="J170" i="220"/>
  <c r="K170" i="220"/>
  <c r="L170" i="220"/>
  <c r="J171" i="220"/>
  <c r="K171" i="220"/>
  <c r="L171" i="220"/>
  <c r="J172" i="220"/>
  <c r="K172" i="220"/>
  <c r="L172" i="220"/>
  <c r="J174" i="220"/>
  <c r="K174" i="220"/>
  <c r="L174" i="220"/>
  <c r="J175" i="220"/>
  <c r="K175" i="220"/>
  <c r="L175" i="220"/>
  <c r="J176" i="220"/>
  <c r="K176" i="220"/>
  <c r="L176" i="220"/>
  <c r="J143" i="220"/>
  <c r="J138" i="220"/>
  <c r="J111" i="220"/>
  <c r="K111" i="220"/>
  <c r="L111" i="220"/>
  <c r="J112" i="220"/>
  <c r="K112" i="220"/>
  <c r="L112" i="220"/>
  <c r="J113" i="220"/>
  <c r="K113" i="220"/>
  <c r="L113" i="220"/>
  <c r="J114" i="220"/>
  <c r="K114" i="220"/>
  <c r="L114" i="220"/>
  <c r="J115" i="220"/>
  <c r="K115" i="220"/>
  <c r="L115" i="220"/>
  <c r="J116" i="220"/>
  <c r="K116" i="220"/>
  <c r="L116" i="220"/>
  <c r="J117" i="220"/>
  <c r="K117" i="220"/>
  <c r="L117" i="220"/>
  <c r="J105" i="220"/>
  <c r="K105" i="220"/>
  <c r="L105" i="220"/>
  <c r="J106" i="220"/>
  <c r="K106" i="220"/>
  <c r="L106" i="220"/>
  <c r="J107" i="220"/>
  <c r="K107" i="220"/>
  <c r="L107" i="220"/>
  <c r="J108" i="220"/>
  <c r="K108" i="220"/>
  <c r="L108" i="220"/>
  <c r="J76" i="220"/>
  <c r="K76" i="220"/>
  <c r="K77" i="220"/>
  <c r="K78" i="220"/>
  <c r="K79" i="220"/>
  <c r="K80" i="220"/>
  <c r="J81" i="220"/>
  <c r="K81" i="220"/>
  <c r="K82" i="220"/>
  <c r="K83" i="220"/>
  <c r="L81" i="220"/>
  <c r="L82" i="220"/>
  <c r="L83" i="220"/>
  <c r="J22" i="220"/>
  <c r="J23" i="220"/>
  <c r="J24" i="220"/>
  <c r="J25" i="220"/>
  <c r="J21" i="220"/>
  <c r="J17" i="220"/>
  <c r="J18" i="220"/>
  <c r="J16" i="220"/>
  <c r="C11" i="555"/>
  <c r="K75" i="220" l="1"/>
  <c r="E22" i="555" s="1"/>
  <c r="L166" i="220"/>
  <c r="K166" i="220"/>
  <c r="K179" i="220"/>
  <c r="L179" i="220"/>
  <c r="K192" i="220"/>
  <c r="L192" i="220"/>
  <c r="M185" i="220"/>
  <c r="M180" i="220"/>
  <c r="M188" i="220"/>
  <c r="M207" i="220"/>
  <c r="M181" i="220"/>
  <c r="M187" i="220"/>
  <c r="M189" i="220"/>
  <c r="M184" i="220"/>
  <c r="M201" i="220"/>
  <c r="L160" i="220"/>
  <c r="K160" i="220"/>
  <c r="M196" i="220"/>
  <c r="M193" i="220"/>
  <c r="M183" i="220"/>
  <c r="M200" i="220"/>
  <c r="M197" i="220"/>
  <c r="M182" i="220"/>
  <c r="M209" i="220"/>
  <c r="M208" i="220" s="1"/>
  <c r="G28" i="555" s="1"/>
  <c r="M206" i="220"/>
  <c r="M205" i="220" s="1"/>
  <c r="M198" i="220"/>
  <c r="M202" i="220"/>
  <c r="M195" i="220"/>
  <c r="M194" i="220"/>
  <c r="L157" i="220"/>
  <c r="K157" i="220"/>
  <c r="M161" i="220"/>
  <c r="M175" i="220"/>
  <c r="M168" i="220"/>
  <c r="M170" i="220"/>
  <c r="M172" i="220"/>
  <c r="M167" i="220"/>
  <c r="M164" i="220"/>
  <c r="M176" i="220"/>
  <c r="M171" i="220"/>
  <c r="M158" i="220"/>
  <c r="M174" i="220"/>
  <c r="M169" i="220"/>
  <c r="M159" i="220"/>
  <c r="L153" i="220"/>
  <c r="K153" i="220"/>
  <c r="M154" i="220"/>
  <c r="M113" i="220"/>
  <c r="M111" i="220"/>
  <c r="M117" i="220"/>
  <c r="M114" i="220"/>
  <c r="M116" i="220"/>
  <c r="M115" i="220"/>
  <c r="M112" i="220"/>
  <c r="M108" i="220"/>
  <c r="M107" i="220"/>
  <c r="M105" i="220"/>
  <c r="M106" i="220"/>
  <c r="M81" i="220"/>
  <c r="M83" i="220"/>
  <c r="M82" i="220"/>
  <c r="K16" i="677"/>
  <c r="G14" i="677"/>
  <c r="B47" i="677" s="1"/>
  <c r="M166" i="220" l="1"/>
  <c r="M179" i="220"/>
  <c r="M192" i="220"/>
  <c r="M157" i="220"/>
  <c r="M160" i="220"/>
  <c r="M153" i="220"/>
  <c r="K16" i="679"/>
  <c r="G14" i="679"/>
  <c r="C11" i="682"/>
  <c r="P10" i="682"/>
  <c r="C10" i="682"/>
  <c r="P9" i="682"/>
  <c r="C9" i="682"/>
  <c r="P8" i="682"/>
  <c r="C8" i="682"/>
  <c r="L152" i="220"/>
  <c r="K152" i="220"/>
  <c r="J152" i="220"/>
  <c r="L151" i="220"/>
  <c r="K151" i="220"/>
  <c r="J151" i="220"/>
  <c r="L150" i="220"/>
  <c r="K150" i="220"/>
  <c r="J150" i="220"/>
  <c r="L149" i="220"/>
  <c r="K149" i="220"/>
  <c r="J149" i="220"/>
  <c r="L137" i="220"/>
  <c r="K137" i="220"/>
  <c r="J137" i="220"/>
  <c r="L136" i="220"/>
  <c r="K136" i="220"/>
  <c r="J136" i="220"/>
  <c r="L135" i="220"/>
  <c r="K135" i="220"/>
  <c r="J135" i="220"/>
  <c r="L134" i="220"/>
  <c r="K134" i="220"/>
  <c r="J134" i="220"/>
  <c r="J133" i="220"/>
  <c r="L132" i="220"/>
  <c r="K132" i="220"/>
  <c r="J132" i="220"/>
  <c r="L131" i="220"/>
  <c r="K131" i="220"/>
  <c r="J131" i="220"/>
  <c r="L145" i="220"/>
  <c r="K145" i="220"/>
  <c r="J145" i="220"/>
  <c r="L144" i="220"/>
  <c r="K144" i="220"/>
  <c r="J144" i="220"/>
  <c r="L142" i="220"/>
  <c r="K142" i="220"/>
  <c r="J142" i="220"/>
  <c r="L141" i="220"/>
  <c r="K141" i="220"/>
  <c r="J141" i="220"/>
  <c r="L140" i="220"/>
  <c r="K140" i="220"/>
  <c r="J140" i="220"/>
  <c r="L139" i="220"/>
  <c r="K139" i="220"/>
  <c r="J139" i="220"/>
  <c r="L148" i="220"/>
  <c r="K148" i="220"/>
  <c r="J148" i="220"/>
  <c r="L147" i="220"/>
  <c r="K147" i="220"/>
  <c r="J147" i="220"/>
  <c r="L146" i="220"/>
  <c r="K146" i="220"/>
  <c r="J146" i="220"/>
  <c r="L122" i="220"/>
  <c r="L121" i="220" s="1"/>
  <c r="K122" i="220"/>
  <c r="K121" i="220" s="1"/>
  <c r="J122" i="220"/>
  <c r="L102" i="220"/>
  <c r="K102" i="220"/>
  <c r="J102" i="220"/>
  <c r="L101" i="220"/>
  <c r="K101" i="220"/>
  <c r="J101" i="220"/>
  <c r="L100" i="220"/>
  <c r="K100" i="220"/>
  <c r="J100" i="220"/>
  <c r="L99" i="220"/>
  <c r="K99" i="220"/>
  <c r="J99" i="220"/>
  <c r="L98" i="220"/>
  <c r="K98" i="220"/>
  <c r="J98" i="220"/>
  <c r="L97" i="220"/>
  <c r="K97" i="220"/>
  <c r="J97" i="220"/>
  <c r="L96" i="220"/>
  <c r="K96" i="220"/>
  <c r="J96" i="220"/>
  <c r="L103" i="220"/>
  <c r="K103" i="220"/>
  <c r="J103" i="220"/>
  <c r="J87" i="220"/>
  <c r="L66" i="220"/>
  <c r="K66" i="220"/>
  <c r="J66" i="220"/>
  <c r="L65" i="220"/>
  <c r="K65" i="220"/>
  <c r="J65" i="220"/>
  <c r="L64" i="220"/>
  <c r="K64" i="220"/>
  <c r="J64" i="220"/>
  <c r="L63" i="220"/>
  <c r="K63" i="220"/>
  <c r="J63" i="220"/>
  <c r="L59" i="220"/>
  <c r="K59" i="220"/>
  <c r="J59" i="220"/>
  <c r="L58" i="220"/>
  <c r="K58" i="220"/>
  <c r="J58" i="220"/>
  <c r="O24" i="7"/>
  <c r="O25" i="7" s="1"/>
  <c r="O30" i="7"/>
  <c r="Q153" i="7"/>
  <c r="Q152" i="7"/>
  <c r="Q151" i="7"/>
  <c r="Q154" i="7"/>
  <c r="Q138" i="7"/>
  <c r="O33" i="7"/>
  <c r="O29" i="7" s="1"/>
  <c r="O181" i="7"/>
  <c r="Q181" i="7" s="1"/>
  <c r="O179" i="7"/>
  <c r="Q179" i="7" s="1"/>
  <c r="O178" i="7"/>
  <c r="Q178" i="7" s="1"/>
  <c r="O177" i="7"/>
  <c r="Q177" i="7" s="1"/>
  <c r="O176" i="7"/>
  <c r="Q176" i="7" s="1"/>
  <c r="O174" i="7"/>
  <c r="Q174" i="7" s="1"/>
  <c r="Q172" i="7"/>
  <c r="Q173" i="7"/>
  <c r="Q183" i="7"/>
  <c r="Q182" i="7"/>
  <c r="Q180" i="7"/>
  <c r="Q171" i="7"/>
  <c r="Q170" i="7"/>
  <c r="O150" i="7"/>
  <c r="Q145" i="7"/>
  <c r="O149" i="7"/>
  <c r="Q149" i="7" s="1"/>
  <c r="Q169" i="7"/>
  <c r="Q139" i="7"/>
  <c r="Q137" i="7"/>
  <c r="Q136" i="7"/>
  <c r="O168" i="7"/>
  <c r="Q167" i="7"/>
  <c r="Q166" i="7"/>
  <c r="Q165" i="7"/>
  <c r="Q164" i="7"/>
  <c r="Q163" i="7"/>
  <c r="Q162" i="7"/>
  <c r="Q161" i="7"/>
  <c r="Q160" i="7"/>
  <c r="Q159" i="7"/>
  <c r="Q148" i="7"/>
  <c r="Q147" i="7"/>
  <c r="Q142" i="7"/>
  <c r="Q141" i="7"/>
  <c r="Q140" i="7"/>
  <c r="Q55" i="7"/>
  <c r="Q128" i="7"/>
  <c r="Q127" i="7"/>
  <c r="Q126" i="7"/>
  <c r="Q125" i="7"/>
  <c r="Q124" i="7"/>
  <c r="Q123" i="7"/>
  <c r="Q122" i="7"/>
  <c r="K130" i="220" l="1"/>
  <c r="L143" i="220"/>
  <c r="L130" i="220"/>
  <c r="K133" i="220"/>
  <c r="K143" i="220"/>
  <c r="L133" i="220"/>
  <c r="K138" i="220"/>
  <c r="L138" i="220"/>
  <c r="M145" i="220"/>
  <c r="M146" i="220"/>
  <c r="M132" i="220"/>
  <c r="M135" i="220"/>
  <c r="M100" i="220"/>
  <c r="M140" i="220"/>
  <c r="M149" i="220"/>
  <c r="M122" i="220"/>
  <c r="M121" i="220" s="1"/>
  <c r="M134" i="220"/>
  <c r="M152" i="220"/>
  <c r="M147" i="220"/>
  <c r="M136" i="220"/>
  <c r="M150" i="220"/>
  <c r="M139" i="220"/>
  <c r="M141" i="220"/>
  <c r="M151" i="220"/>
  <c r="M144" i="220"/>
  <c r="M137" i="220"/>
  <c r="M148" i="220"/>
  <c r="M142" i="220"/>
  <c r="M131" i="220"/>
  <c r="M96" i="220"/>
  <c r="M99" i="220"/>
  <c r="M103" i="220"/>
  <c r="M98" i="220"/>
  <c r="M101" i="220"/>
  <c r="M102" i="220"/>
  <c r="M63" i="220"/>
  <c r="M97" i="220"/>
  <c r="M58" i="220"/>
  <c r="M64" i="220"/>
  <c r="M66" i="220"/>
  <c r="M59" i="220"/>
  <c r="M65" i="220"/>
  <c r="Q150" i="7"/>
  <c r="Q168" i="7"/>
  <c r="O175" i="7"/>
  <c r="Q175" i="7" s="1"/>
  <c r="Q46" i="7"/>
  <c r="O41" i="7"/>
  <c r="Q41" i="7" s="1"/>
  <c r="Q37" i="7"/>
  <c r="Q40" i="7"/>
  <c r="Q39" i="7"/>
  <c r="Q38" i="7"/>
  <c r="O98" i="7"/>
  <c r="Q102" i="7"/>
  <c r="Q103" i="7"/>
  <c r="Q84" i="7"/>
  <c r="Q83" i="7"/>
  <c r="Q117" i="7"/>
  <c r="Q118" i="7"/>
  <c r="Q119" i="7"/>
  <c r="O121" i="7"/>
  <c r="Q112" i="7"/>
  <c r="Q111" i="7"/>
  <c r="Q110" i="7"/>
  <c r="Q109" i="7"/>
  <c r="Q116" i="7"/>
  <c r="Q115" i="7"/>
  <c r="Q114" i="7"/>
  <c r="Q113" i="7"/>
  <c r="L129" i="220" l="1"/>
  <c r="F27" i="555" s="1"/>
  <c r="K129" i="220"/>
  <c r="E27" i="555" s="1"/>
  <c r="M130" i="220"/>
  <c r="M133" i="220"/>
  <c r="M138" i="220"/>
  <c r="M143" i="220"/>
  <c r="Q78" i="7"/>
  <c r="Q100" i="7"/>
  <c r="Q99" i="7"/>
  <c r="Q98" i="7"/>
  <c r="Q97" i="7"/>
  <c r="Q96" i="7"/>
  <c r="Q106" i="7"/>
  <c r="O94" i="7"/>
  <c r="M129" i="220" l="1"/>
  <c r="G27" i="555" s="1"/>
  <c r="Q92" i="7"/>
  <c r="Q91" i="7"/>
  <c r="Q95" i="7" l="1"/>
  <c r="Q94" i="7"/>
  <c r="Q93" i="7"/>
  <c r="Q101" i="7"/>
  <c r="Q88" i="7"/>
  <c r="Q76" i="7"/>
  <c r="Q68" i="7"/>
  <c r="Q73" i="7"/>
  <c r="Q72" i="7"/>
  <c r="Q71" i="7"/>
  <c r="Q70" i="7"/>
  <c r="Q69" i="7"/>
  <c r="Q67" i="7"/>
  <c r="Q66" i="7"/>
  <c r="Q65" i="7"/>
  <c r="Q64" i="7"/>
  <c r="Q62" i="7"/>
  <c r="Q61" i="7"/>
  <c r="Q60" i="7"/>
  <c r="Q59" i="7"/>
  <c r="Q50" i="7"/>
  <c r="Q53" i="7"/>
  <c r="Q56" i="7"/>
  <c r="Q54" i="7"/>
  <c r="Q52" i="7"/>
  <c r="Q51" i="7"/>
  <c r="Q49" i="7"/>
  <c r="Q158" i="7" l="1"/>
  <c r="Q157" i="7"/>
  <c r="Q146" i="7"/>
  <c r="Q144" i="7"/>
  <c r="Q143" i="7"/>
  <c r="Q135" i="7"/>
  <c r="Q134" i="7"/>
  <c r="Q133" i="7"/>
  <c r="Q132" i="7"/>
  <c r="Q131" i="7"/>
  <c r="Q130" i="7"/>
  <c r="Q77" i="7"/>
  <c r="Q75" i="7"/>
  <c r="Q74" i="7"/>
  <c r="Q63" i="7"/>
  <c r="Q58" i="7"/>
  <c r="Q57" i="7"/>
  <c r="Q129" i="7"/>
  <c r="Q121" i="7"/>
  <c r="Q120" i="7"/>
  <c r="Q108" i="7"/>
  <c r="Q107" i="7"/>
  <c r="Q105" i="7"/>
  <c r="Q104" i="7"/>
  <c r="Q90" i="7"/>
  <c r="Q89" i="7"/>
  <c r="Q87" i="7"/>
  <c r="Q86" i="7"/>
  <c r="Q85" i="7"/>
  <c r="Q82" i="7"/>
  <c r="Q81" i="7"/>
  <c r="Q80" i="7"/>
  <c r="Q79" i="7"/>
  <c r="Q48" i="7"/>
  <c r="Q47" i="7"/>
  <c r="Q45" i="7"/>
  <c r="Q44" i="7"/>
  <c r="Q43" i="7"/>
  <c r="Q42" i="7"/>
  <c r="Q36" i="7"/>
  <c r="Q35" i="7"/>
  <c r="Q34" i="7"/>
  <c r="Q33" i="7"/>
  <c r="Q32" i="7"/>
  <c r="Q31" i="7"/>
  <c r="Q30" i="7"/>
  <c r="Q29" i="7"/>
  <c r="Q28" i="7"/>
  <c r="Q27" i="7"/>
  <c r="Q26" i="7"/>
  <c r="Q25" i="7"/>
  <c r="Q24" i="7"/>
  <c r="Q23" i="7"/>
  <c r="Q22" i="7"/>
  <c r="Q21" i="7"/>
  <c r="Q19" i="7"/>
  <c r="Q18" i="7"/>
  <c r="Q17" i="7"/>
  <c r="D10" i="679" l="1"/>
  <c r="D10" i="678"/>
  <c r="D10" i="677"/>
  <c r="D10" i="554"/>
  <c r="C10" i="681"/>
  <c r="C10" i="548"/>
  <c r="C10" i="561"/>
  <c r="C8" i="607"/>
  <c r="C10" i="220"/>
  <c r="C10" i="555"/>
  <c r="C11" i="681"/>
  <c r="C9" i="681"/>
  <c r="C8" i="681"/>
  <c r="G48" i="681"/>
  <c r="F48" i="681"/>
  <c r="E48" i="681"/>
  <c r="D48" i="681"/>
  <c r="G44" i="681"/>
  <c r="F44" i="681"/>
  <c r="E44" i="681"/>
  <c r="D44" i="681"/>
  <c r="G37" i="681"/>
  <c r="F37" i="681"/>
  <c r="E37" i="681"/>
  <c r="D37" i="681"/>
  <c r="G25" i="681"/>
  <c r="F25" i="681"/>
  <c r="E25" i="681"/>
  <c r="D25" i="681"/>
  <c r="D8" i="554"/>
  <c r="D9" i="554"/>
  <c r="D11" i="554"/>
  <c r="I31" i="554"/>
  <c r="F49" i="681" l="1"/>
  <c r="T8" i="682" s="1"/>
  <c r="G49" i="681"/>
  <c r="T9" i="682" s="1"/>
  <c r="E49" i="681"/>
  <c r="D49" i="681"/>
  <c r="F25" i="551"/>
  <c r="L95" i="220"/>
  <c r="K95" i="220"/>
  <c r="J95" i="220"/>
  <c r="L94" i="220"/>
  <c r="K94" i="220"/>
  <c r="J94" i="220"/>
  <c r="L93" i="220"/>
  <c r="K93" i="220"/>
  <c r="J93" i="220"/>
  <c r="L92" i="220"/>
  <c r="K92" i="220"/>
  <c r="J92" i="220"/>
  <c r="L90" i="220"/>
  <c r="K90" i="220"/>
  <c r="J90" i="220"/>
  <c r="L89" i="220"/>
  <c r="K89" i="220"/>
  <c r="J89" i="220"/>
  <c r="L88" i="220"/>
  <c r="K88" i="220"/>
  <c r="J88" i="220"/>
  <c r="L80" i="220"/>
  <c r="L79" i="220"/>
  <c r="L78" i="220"/>
  <c r="L77" i="220"/>
  <c r="L76" i="220"/>
  <c r="L71" i="220"/>
  <c r="K71" i="220"/>
  <c r="J71" i="220"/>
  <c r="L70" i="220"/>
  <c r="K70" i="220"/>
  <c r="J70" i="220"/>
  <c r="L62" i="220"/>
  <c r="K62" i="220"/>
  <c r="J62" i="220"/>
  <c r="L56" i="220"/>
  <c r="K56" i="220"/>
  <c r="J56" i="220"/>
  <c r="L55" i="220"/>
  <c r="K55" i="220"/>
  <c r="J55" i="220"/>
  <c r="L54" i="220"/>
  <c r="K54" i="220"/>
  <c r="J54" i="220"/>
  <c r="L24" i="220"/>
  <c r="K24" i="220"/>
  <c r="L18" i="220"/>
  <c r="K18" i="220"/>
  <c r="I31" i="679"/>
  <c r="T11" i="682" s="1"/>
  <c r="D11" i="679"/>
  <c r="D9" i="679"/>
  <c r="D8" i="679"/>
  <c r="I31" i="678"/>
  <c r="T10" i="682" s="1"/>
  <c r="D11" i="678"/>
  <c r="D9" i="678"/>
  <c r="D8" i="678"/>
  <c r="I31" i="677"/>
  <c r="F28" i="551" s="1"/>
  <c r="D11" i="677"/>
  <c r="D9" i="677"/>
  <c r="D8" i="677"/>
  <c r="O209" i="682" l="1"/>
  <c r="R209" i="682" s="1"/>
  <c r="R208" i="682" s="1"/>
  <c r="N201" i="682"/>
  <c r="O200" i="682"/>
  <c r="R200" i="682" s="1"/>
  <c r="O194" i="682"/>
  <c r="R194" i="682" s="1"/>
  <c r="N189" i="682"/>
  <c r="O182" i="682"/>
  <c r="O177" i="682"/>
  <c r="R177" i="682" s="1"/>
  <c r="O170" i="682"/>
  <c r="R170" i="682" s="1"/>
  <c r="N168" i="682"/>
  <c r="O165" i="682"/>
  <c r="R165" i="682" s="1"/>
  <c r="N156" i="682"/>
  <c r="O155" i="682"/>
  <c r="R155" i="682" s="1"/>
  <c r="O150" i="682"/>
  <c r="R150" i="682" s="1"/>
  <c r="O145" i="682"/>
  <c r="R145" i="682" s="1"/>
  <c r="N144" i="682"/>
  <c r="O141" i="682"/>
  <c r="R141" i="682" s="1"/>
  <c r="N140" i="682"/>
  <c r="O128" i="682"/>
  <c r="R128" i="682" s="1"/>
  <c r="N127" i="682"/>
  <c r="N126" i="682"/>
  <c r="O120" i="682"/>
  <c r="R120" i="682" s="1"/>
  <c r="N115" i="682"/>
  <c r="N110" i="682"/>
  <c r="N209" i="682"/>
  <c r="O206" i="682"/>
  <c r="R206" i="682" s="1"/>
  <c r="R205" i="682" s="1"/>
  <c r="O202" i="682"/>
  <c r="R202" i="682" s="1"/>
  <c r="N200" i="682"/>
  <c r="O196" i="682"/>
  <c r="R196" i="682" s="1"/>
  <c r="N194" i="682"/>
  <c r="O191" i="682"/>
  <c r="R191" i="682" s="1"/>
  <c r="O190" i="682"/>
  <c r="R190" i="682" s="1"/>
  <c r="O183" i="682"/>
  <c r="R183" i="682" s="1"/>
  <c r="N182" i="682"/>
  <c r="Q182" i="682" s="1"/>
  <c r="O181" i="682"/>
  <c r="R181" i="682" s="1"/>
  <c r="N177" i="682"/>
  <c r="O176" i="682"/>
  <c r="R176" i="682" s="1"/>
  <c r="O172" i="682"/>
  <c r="R172" i="682" s="1"/>
  <c r="N170" i="682"/>
  <c r="O166" i="682"/>
  <c r="R166" i="682" s="1"/>
  <c r="N165" i="682"/>
  <c r="O160" i="682"/>
  <c r="R160" i="682" s="1"/>
  <c r="N155" i="682"/>
  <c r="O151" i="682"/>
  <c r="R151" i="682" s="1"/>
  <c r="N150" i="682"/>
  <c r="O149" i="682"/>
  <c r="R149" i="682" s="1"/>
  <c r="N145" i="682"/>
  <c r="N141" i="682"/>
  <c r="O135" i="682"/>
  <c r="R135" i="682" s="1"/>
  <c r="O134" i="682"/>
  <c r="N128" i="682"/>
  <c r="N120" i="682"/>
  <c r="O116" i="682"/>
  <c r="R116" i="682" s="1"/>
  <c r="O111" i="682"/>
  <c r="R111" i="682" s="1"/>
  <c r="N107" i="682"/>
  <c r="N104" i="682"/>
  <c r="O99" i="682"/>
  <c r="R99" i="682" s="1"/>
  <c r="O92" i="682"/>
  <c r="R92" i="682" s="1"/>
  <c r="O88" i="682"/>
  <c r="O83" i="682"/>
  <c r="R83" i="682" s="1"/>
  <c r="O79" i="682"/>
  <c r="R79" i="682" s="1"/>
  <c r="N78" i="682"/>
  <c r="N74" i="682"/>
  <c r="N65" i="682"/>
  <c r="N206" i="682"/>
  <c r="N202" i="682"/>
  <c r="N196" i="682"/>
  <c r="N191" i="682"/>
  <c r="N190" i="682"/>
  <c r="O185" i="682"/>
  <c r="R185" i="682" s="1"/>
  <c r="N183" i="682"/>
  <c r="N181" i="682"/>
  <c r="O178" i="682"/>
  <c r="R178" i="682" s="1"/>
  <c r="N176" i="682"/>
  <c r="N172" i="682"/>
  <c r="O171" i="682"/>
  <c r="R171" i="682" s="1"/>
  <c r="N166" i="682"/>
  <c r="O161" i="682"/>
  <c r="N160" i="682"/>
  <c r="O157" i="682"/>
  <c r="R157" i="682" s="1"/>
  <c r="N151" i="682"/>
  <c r="N149" i="682"/>
  <c r="O146" i="682"/>
  <c r="R146" i="682" s="1"/>
  <c r="O142" i="682"/>
  <c r="R142" i="682" s="1"/>
  <c r="O137" i="682"/>
  <c r="R137" i="682" s="1"/>
  <c r="N135" i="682"/>
  <c r="N134" i="682"/>
  <c r="P134" i="682" s="1"/>
  <c r="O122" i="682"/>
  <c r="O117" i="682"/>
  <c r="R117" i="682" s="1"/>
  <c r="N116" i="682"/>
  <c r="N111" i="682"/>
  <c r="O109" i="682"/>
  <c r="R109" i="682" s="1"/>
  <c r="O207" i="682"/>
  <c r="R207" i="682" s="1"/>
  <c r="O204" i="682"/>
  <c r="R204" i="682" s="1"/>
  <c r="N207" i="682"/>
  <c r="N208" i="682"/>
  <c r="N205" i="682"/>
  <c r="O201" i="682"/>
  <c r="R201" i="682" s="1"/>
  <c r="N193" i="682"/>
  <c r="O189" i="682"/>
  <c r="R189" i="682" s="1"/>
  <c r="N187" i="682"/>
  <c r="N180" i="682"/>
  <c r="N175" i="682"/>
  <c r="N169" i="682"/>
  <c r="O168" i="682"/>
  <c r="R168" i="682" s="1"/>
  <c r="N163" i="682"/>
  <c r="N159" i="682"/>
  <c r="O156" i="682"/>
  <c r="R156" i="682" s="1"/>
  <c r="N148" i="682"/>
  <c r="O144" i="682"/>
  <c r="O140" i="682"/>
  <c r="R140" i="682" s="1"/>
  <c r="N139" i="682"/>
  <c r="N133" i="682"/>
  <c r="O127" i="682"/>
  <c r="R127" i="682" s="1"/>
  <c r="O126" i="682"/>
  <c r="R126" i="682" s="1"/>
  <c r="N125" i="682"/>
  <c r="Q125" i="682" s="1"/>
  <c r="N124" i="682"/>
  <c r="N119" i="682"/>
  <c r="N188" i="682"/>
  <c r="O187" i="682"/>
  <c r="R187" i="682" s="1"/>
  <c r="N184" i="682"/>
  <c r="O180" i="682"/>
  <c r="N178" i="682"/>
  <c r="O174" i="682"/>
  <c r="R174" i="682" s="1"/>
  <c r="N142" i="682"/>
  <c r="O136" i="682"/>
  <c r="R136" i="682" s="1"/>
  <c r="O130" i="682"/>
  <c r="O118" i="682"/>
  <c r="R118" i="682" s="1"/>
  <c r="O112" i="682"/>
  <c r="R112" i="682" s="1"/>
  <c r="N105" i="682"/>
  <c r="O100" i="682"/>
  <c r="R100" i="682" s="1"/>
  <c r="N96" i="682"/>
  <c r="N90" i="682"/>
  <c r="O77" i="682"/>
  <c r="R77" i="682" s="1"/>
  <c r="N76" i="682"/>
  <c r="O73" i="682"/>
  <c r="R73" i="682" s="1"/>
  <c r="O69" i="682"/>
  <c r="N61" i="682"/>
  <c r="O58" i="682"/>
  <c r="R58" i="682" s="1"/>
  <c r="N55" i="682"/>
  <c r="N44" i="682"/>
  <c r="N41" i="682"/>
  <c r="N37" i="682"/>
  <c r="N34" i="682"/>
  <c r="N31" i="682"/>
  <c r="N27" i="682"/>
  <c r="O22" i="682"/>
  <c r="R22" i="682" s="1"/>
  <c r="N20" i="682"/>
  <c r="N17" i="682"/>
  <c r="O42" i="682"/>
  <c r="R42" i="682" s="1"/>
  <c r="O32" i="682"/>
  <c r="R32" i="682" s="1"/>
  <c r="O24" i="682"/>
  <c r="R24" i="682" s="1"/>
  <c r="N22" i="682"/>
  <c r="N24" i="682"/>
  <c r="N101" i="682"/>
  <c r="N62" i="682"/>
  <c r="N38" i="682"/>
  <c r="O33" i="682"/>
  <c r="R33" i="682" s="1"/>
  <c r="O40" i="682"/>
  <c r="N46" i="682"/>
  <c r="N36" i="682"/>
  <c r="Q36" i="682" s="1"/>
  <c r="N30" i="682"/>
  <c r="N25" i="682"/>
  <c r="O197" i="682"/>
  <c r="R197" i="682" s="1"/>
  <c r="N185" i="682"/>
  <c r="N174" i="682"/>
  <c r="O167" i="682"/>
  <c r="O162" i="682"/>
  <c r="R162" i="682" s="1"/>
  <c r="N136" i="682"/>
  <c r="N130" i="682"/>
  <c r="O124" i="682"/>
  <c r="R124" i="682" s="1"/>
  <c r="N118" i="682"/>
  <c r="N112" i="682"/>
  <c r="O110" i="682"/>
  <c r="O108" i="682"/>
  <c r="R108" i="682" s="1"/>
  <c r="O102" i="682"/>
  <c r="R102" i="682" s="1"/>
  <c r="N100" i="682"/>
  <c r="O97" i="682"/>
  <c r="R97" i="682" s="1"/>
  <c r="N88" i="682"/>
  <c r="O84" i="682"/>
  <c r="O80" i="682"/>
  <c r="R80" i="682" s="1"/>
  <c r="N77" i="682"/>
  <c r="N73" i="682"/>
  <c r="O72" i="682"/>
  <c r="R72" i="682" s="1"/>
  <c r="N69" i="682"/>
  <c r="P69" i="682" s="1"/>
  <c r="O66" i="682"/>
  <c r="R66" i="682" s="1"/>
  <c r="O59" i="682"/>
  <c r="R59" i="682" s="1"/>
  <c r="N58" i="682"/>
  <c r="O50" i="682"/>
  <c r="R50" i="682" s="1"/>
  <c r="O48" i="682"/>
  <c r="R48" i="682" s="1"/>
  <c r="O45" i="682"/>
  <c r="R45" i="682" s="1"/>
  <c r="O23" i="682"/>
  <c r="R23" i="682" s="1"/>
  <c r="O18" i="682"/>
  <c r="R18" i="682" s="1"/>
  <c r="N18" i="682"/>
  <c r="O64" i="682"/>
  <c r="R64" i="682" s="1"/>
  <c r="O56" i="682"/>
  <c r="R56" i="682" s="1"/>
  <c r="O57" i="682"/>
  <c r="R57" i="682" s="1"/>
  <c r="N40" i="682"/>
  <c r="Q40" i="682" s="1"/>
  <c r="O26" i="682"/>
  <c r="R26" i="682" s="1"/>
  <c r="N197" i="682"/>
  <c r="O195" i="682"/>
  <c r="R195" i="682" s="1"/>
  <c r="N167" i="682"/>
  <c r="N162" i="682"/>
  <c r="O154" i="682"/>
  <c r="O147" i="682"/>
  <c r="R147" i="682" s="1"/>
  <c r="O125" i="682"/>
  <c r="O113" i="682"/>
  <c r="R113" i="682" s="1"/>
  <c r="N109" i="682"/>
  <c r="N108" i="682"/>
  <c r="O106" i="682"/>
  <c r="R106" i="682" s="1"/>
  <c r="O103" i="682"/>
  <c r="R103" i="682" s="1"/>
  <c r="N102" i="682"/>
  <c r="O101" i="682"/>
  <c r="R101" i="682" s="1"/>
  <c r="N97" i="682"/>
  <c r="N92" i="682"/>
  <c r="N84" i="682"/>
  <c r="Q84" i="682" s="1"/>
  <c r="N80" i="682"/>
  <c r="N72" i="682"/>
  <c r="N66" i="682"/>
  <c r="O62" i="682"/>
  <c r="R62" i="682" s="1"/>
  <c r="N59" i="682"/>
  <c r="O53" i="682"/>
  <c r="N50" i="682"/>
  <c r="O49" i="682"/>
  <c r="R49" i="682" s="1"/>
  <c r="N48" i="682"/>
  <c r="N45" i="682"/>
  <c r="N42" i="682"/>
  <c r="O38" i="682"/>
  <c r="R38" i="682" s="1"/>
  <c r="O35" i="682"/>
  <c r="R35" i="682" s="1"/>
  <c r="N32" i="682"/>
  <c r="O29" i="682"/>
  <c r="O82" i="682"/>
  <c r="R82" i="682" s="1"/>
  <c r="O74" i="682"/>
  <c r="R74" i="682" s="1"/>
  <c r="O70" i="682"/>
  <c r="R70" i="682" s="1"/>
  <c r="N53" i="682"/>
  <c r="O54" i="682"/>
  <c r="R54" i="682" s="1"/>
  <c r="O46" i="682"/>
  <c r="R46" i="682" s="1"/>
  <c r="O36" i="682"/>
  <c r="O30" i="682"/>
  <c r="R30" i="682" s="1"/>
  <c r="O25" i="682"/>
  <c r="R25" i="682" s="1"/>
  <c r="O19" i="682"/>
  <c r="R19" i="682" s="1"/>
  <c r="N56" i="682"/>
  <c r="N52" i="682"/>
  <c r="N19" i="682"/>
  <c r="N195" i="682"/>
  <c r="O193" i="682"/>
  <c r="O179" i="682"/>
  <c r="R179" i="682" s="1"/>
  <c r="O175" i="682"/>
  <c r="R175" i="682" s="1"/>
  <c r="O164" i="682"/>
  <c r="R164" i="682" s="1"/>
  <c r="O158" i="682"/>
  <c r="N154" i="682"/>
  <c r="N147" i="682"/>
  <c r="O143" i="682"/>
  <c r="R143" i="682" s="1"/>
  <c r="N137" i="682"/>
  <c r="O132" i="682"/>
  <c r="R132" i="682" s="1"/>
  <c r="O114" i="682"/>
  <c r="R114" i="682" s="1"/>
  <c r="N113" i="682"/>
  <c r="N106" i="682"/>
  <c r="N103" i="682"/>
  <c r="O85" i="682"/>
  <c r="R85" i="682" s="1"/>
  <c r="O208" i="682"/>
  <c r="O205" i="682"/>
  <c r="O203" i="682"/>
  <c r="R203" i="682" s="1"/>
  <c r="O198" i="682"/>
  <c r="R198" i="682" s="1"/>
  <c r="O186" i="682"/>
  <c r="R186" i="682" s="1"/>
  <c r="N179" i="682"/>
  <c r="N164" i="682"/>
  <c r="O163" i="682"/>
  <c r="R163" i="682" s="1"/>
  <c r="N158" i="682"/>
  <c r="P158" i="682" s="1"/>
  <c r="O152" i="682"/>
  <c r="R152" i="682" s="1"/>
  <c r="N143" i="682"/>
  <c r="O139" i="682"/>
  <c r="N132" i="682"/>
  <c r="N122" i="682"/>
  <c r="O119" i="682"/>
  <c r="R119" i="682" s="1"/>
  <c r="N114" i="682"/>
  <c r="O98" i="682"/>
  <c r="R98" i="682" s="1"/>
  <c r="O94" i="682"/>
  <c r="R94" i="682" s="1"/>
  <c r="O93" i="682"/>
  <c r="R93" i="682" s="1"/>
  <c r="O89" i="682"/>
  <c r="R89" i="682" s="1"/>
  <c r="N85" i="682"/>
  <c r="N82" i="682"/>
  <c r="O81" i="682"/>
  <c r="R81" i="682" s="1"/>
  <c r="O78" i="682"/>
  <c r="R78" i="682" s="1"/>
  <c r="N70" i="682"/>
  <c r="O67" i="682"/>
  <c r="R67" i="682" s="1"/>
  <c r="O60" i="682"/>
  <c r="R60" i="682" s="1"/>
  <c r="N203" i="682"/>
  <c r="O199" i="682"/>
  <c r="R199" i="682" s="1"/>
  <c r="N198" i="682"/>
  <c r="N186" i="682"/>
  <c r="O173" i="682"/>
  <c r="R173" i="682" s="1"/>
  <c r="O159" i="682"/>
  <c r="R159" i="682" s="1"/>
  <c r="O153" i="682"/>
  <c r="R153" i="682" s="1"/>
  <c r="N152" i="682"/>
  <c r="O148" i="682"/>
  <c r="R148" i="682" s="1"/>
  <c r="O133" i="682"/>
  <c r="R133" i="682" s="1"/>
  <c r="N117" i="682"/>
  <c r="O104" i="682"/>
  <c r="R104" i="682" s="1"/>
  <c r="N99" i="682"/>
  <c r="N98" i="682"/>
  <c r="N94" i="682"/>
  <c r="N93" i="682"/>
  <c r="N89" i="682"/>
  <c r="O86" i="682"/>
  <c r="R86" i="682" s="1"/>
  <c r="N81" i="682"/>
  <c r="N67" i="682"/>
  <c r="N64" i="682"/>
  <c r="O63" i="682"/>
  <c r="R63" i="682" s="1"/>
  <c r="N39" i="682"/>
  <c r="N204" i="682"/>
  <c r="N199" i="682"/>
  <c r="O192" i="682"/>
  <c r="R192" i="682" s="1"/>
  <c r="N173" i="682"/>
  <c r="O169" i="682"/>
  <c r="R169" i="682" s="1"/>
  <c r="N161" i="682"/>
  <c r="N157" i="682"/>
  <c r="N153" i="682"/>
  <c r="O138" i="682"/>
  <c r="R138" i="682" s="1"/>
  <c r="O123" i="682"/>
  <c r="R123" i="682" s="1"/>
  <c r="O115" i="682"/>
  <c r="R115" i="682" s="1"/>
  <c r="O107" i="682"/>
  <c r="R107" i="682" s="1"/>
  <c r="O95" i="682"/>
  <c r="R95" i="682" s="1"/>
  <c r="O91" i="682"/>
  <c r="R91" i="682" s="1"/>
  <c r="N86" i="682"/>
  <c r="N79" i="682"/>
  <c r="O71" i="682"/>
  <c r="R71" i="682" s="1"/>
  <c r="N63" i="682"/>
  <c r="N57" i="682"/>
  <c r="O47" i="682"/>
  <c r="R47" i="682" s="1"/>
  <c r="N26" i="682"/>
  <c r="N192" i="682"/>
  <c r="O188" i="682"/>
  <c r="R188" i="682" s="1"/>
  <c r="O184" i="682"/>
  <c r="R184" i="682" s="1"/>
  <c r="N171" i="682"/>
  <c r="N146" i="682"/>
  <c r="N138" i="682"/>
  <c r="N123" i="682"/>
  <c r="O105" i="682"/>
  <c r="O96" i="682"/>
  <c r="R96" i="682" s="1"/>
  <c r="N95" i="682"/>
  <c r="N91" i="682"/>
  <c r="O90" i="682"/>
  <c r="R90" i="682" s="1"/>
  <c r="N83" i="682"/>
  <c r="O76" i="682"/>
  <c r="N71" i="682"/>
  <c r="O65" i="682"/>
  <c r="R65" i="682" s="1"/>
  <c r="O61" i="682"/>
  <c r="O55" i="682"/>
  <c r="R55" i="682" s="1"/>
  <c r="N47" i="682"/>
  <c r="O44" i="682"/>
  <c r="O41" i="682"/>
  <c r="R41" i="682" s="1"/>
  <c r="O37" i="682"/>
  <c r="R37" i="682" s="1"/>
  <c r="O34" i="682"/>
  <c r="R34" i="682" s="1"/>
  <c r="O31" i="682"/>
  <c r="R31" i="682" s="1"/>
  <c r="O27" i="682"/>
  <c r="R27" i="682" s="1"/>
  <c r="O20" i="682"/>
  <c r="O17" i="682"/>
  <c r="R17" i="682" s="1"/>
  <c r="N49" i="682"/>
  <c r="N35" i="682"/>
  <c r="N29" i="682"/>
  <c r="N23" i="682"/>
  <c r="O52" i="682"/>
  <c r="O39" i="682"/>
  <c r="R39" i="682" s="1"/>
  <c r="N33" i="682"/>
  <c r="N60" i="682"/>
  <c r="N54" i="682"/>
  <c r="O28" i="682"/>
  <c r="N28" i="682"/>
  <c r="L75" i="220"/>
  <c r="F22" i="555" s="1"/>
  <c r="M92" i="220"/>
  <c r="M95" i="220"/>
  <c r="M93" i="220"/>
  <c r="M94" i="220"/>
  <c r="M89" i="220"/>
  <c r="M71" i="220"/>
  <c r="M76" i="220"/>
  <c r="M56" i="220"/>
  <c r="M79" i="220"/>
  <c r="M77" i="220"/>
  <c r="M88" i="220"/>
  <c r="M70" i="220"/>
  <c r="M90" i="220"/>
  <c r="M78" i="220"/>
  <c r="M80" i="220"/>
  <c r="M62" i="220"/>
  <c r="M55" i="220"/>
  <c r="M54" i="220"/>
  <c r="M18" i="220"/>
  <c r="M24" i="220"/>
  <c r="R158" i="682" l="1"/>
  <c r="P88" i="682"/>
  <c r="P180" i="682"/>
  <c r="R44" i="682"/>
  <c r="P139" i="682"/>
  <c r="P208" i="682"/>
  <c r="P144" i="682"/>
  <c r="P76" i="682"/>
  <c r="R16" i="682"/>
  <c r="Q93" i="682"/>
  <c r="S93" i="682" s="1"/>
  <c r="P93" i="682"/>
  <c r="Q92" i="682"/>
  <c r="S92" i="682" s="1"/>
  <c r="P92" i="682"/>
  <c r="Q73" i="682"/>
  <c r="S73" i="682" s="1"/>
  <c r="P73" i="682"/>
  <c r="Q153" i="682"/>
  <c r="S153" i="682" s="1"/>
  <c r="P153" i="682"/>
  <c r="P36" i="682"/>
  <c r="R36" i="682"/>
  <c r="S36" i="682" s="1"/>
  <c r="Q175" i="682"/>
  <c r="S175" i="682" s="1"/>
  <c r="P175" i="682"/>
  <c r="Q183" i="682"/>
  <c r="S183" i="682" s="1"/>
  <c r="P183" i="682"/>
  <c r="Q170" i="682"/>
  <c r="S170" i="682" s="1"/>
  <c r="P170" i="682"/>
  <c r="Q115" i="682"/>
  <c r="S115" i="682" s="1"/>
  <c r="P115" i="682"/>
  <c r="P70" i="682"/>
  <c r="Q70" i="682"/>
  <c r="Q59" i="682"/>
  <c r="S59" i="682" s="1"/>
  <c r="P59" i="682"/>
  <c r="Q185" i="682"/>
  <c r="S185" i="682" s="1"/>
  <c r="P185" i="682"/>
  <c r="Q17" i="682"/>
  <c r="P17" i="682"/>
  <c r="P189" i="682"/>
  <c r="Q189" i="682"/>
  <c r="S189" i="682" s="1"/>
  <c r="P99" i="682"/>
  <c r="Q99" i="682"/>
  <c r="S99" i="682" s="1"/>
  <c r="R61" i="682"/>
  <c r="Q126" i="682"/>
  <c r="S126" i="682" s="1"/>
  <c r="P126" i="682"/>
  <c r="Q26" i="682"/>
  <c r="S26" i="682" s="1"/>
  <c r="P26" i="682"/>
  <c r="Q67" i="682"/>
  <c r="S67" i="682" s="1"/>
  <c r="P67" i="682"/>
  <c r="Q123" i="682"/>
  <c r="P123" i="682"/>
  <c r="P35" i="682"/>
  <c r="Q35" i="682"/>
  <c r="S35" i="682" s="1"/>
  <c r="P57" i="682"/>
  <c r="Q57" i="682"/>
  <c r="S57" i="682" s="1"/>
  <c r="R131" i="682"/>
  <c r="Q132" i="682"/>
  <c r="P132" i="682"/>
  <c r="Q54" i="682"/>
  <c r="P54" i="682"/>
  <c r="Q49" i="682"/>
  <c r="S49" i="682" s="1"/>
  <c r="P49" i="682"/>
  <c r="Q83" i="682"/>
  <c r="S83" i="682" s="1"/>
  <c r="P83" i="682"/>
  <c r="P146" i="682"/>
  <c r="Q146" i="682"/>
  <c r="S146" i="682" s="1"/>
  <c r="P63" i="682"/>
  <c r="Q63" i="682"/>
  <c r="S63" i="682" s="1"/>
  <c r="Q199" i="682"/>
  <c r="S199" i="682" s="1"/>
  <c r="P199" i="682"/>
  <c r="Q89" i="682"/>
  <c r="P89" i="682"/>
  <c r="Q203" i="682"/>
  <c r="S203" i="682" s="1"/>
  <c r="P203" i="682"/>
  <c r="R88" i="682"/>
  <c r="P109" i="682"/>
  <c r="Q109" i="682"/>
  <c r="S109" i="682" s="1"/>
  <c r="P197" i="682"/>
  <c r="Q197" i="682"/>
  <c r="S197" i="682" s="1"/>
  <c r="R161" i="682"/>
  <c r="Q46" i="682"/>
  <c r="S46" i="682" s="1"/>
  <c r="P46" i="682"/>
  <c r="P34" i="682"/>
  <c r="Q34" i="682"/>
  <c r="S34" i="682" s="1"/>
  <c r="Q184" i="682"/>
  <c r="S184" i="682" s="1"/>
  <c r="P184" i="682"/>
  <c r="P133" i="682"/>
  <c r="Q133" i="682"/>
  <c r="S133" i="682" s="1"/>
  <c r="R167" i="682"/>
  <c r="P205" i="682"/>
  <c r="P151" i="682"/>
  <c r="Q151" i="682"/>
  <c r="S151" i="682" s="1"/>
  <c r="Q206" i="682"/>
  <c r="P206" i="682"/>
  <c r="R134" i="682"/>
  <c r="P165" i="682"/>
  <c r="Q165" i="682"/>
  <c r="S165" i="682" s="1"/>
  <c r="Q209" i="682"/>
  <c r="P209" i="682"/>
  <c r="Q171" i="682"/>
  <c r="S171" i="682" s="1"/>
  <c r="P171" i="682"/>
  <c r="Q104" i="682"/>
  <c r="S104" i="682" s="1"/>
  <c r="T104" i="682" s="1"/>
  <c r="P104" i="682"/>
  <c r="P125" i="682"/>
  <c r="R125" i="682"/>
  <c r="S125" i="682" s="1"/>
  <c r="Q143" i="682"/>
  <c r="S143" i="682" s="1"/>
  <c r="P143" i="682"/>
  <c r="S157" i="682"/>
  <c r="Q33" i="682"/>
  <c r="S33" i="682" s="1"/>
  <c r="P33" i="682"/>
  <c r="Q94" i="682"/>
  <c r="S94" i="682" s="1"/>
  <c r="P94" i="682"/>
  <c r="Q97" i="682"/>
  <c r="S97" i="682" s="1"/>
  <c r="P97" i="682"/>
  <c r="Q188" i="682"/>
  <c r="S188" i="682" s="1"/>
  <c r="P188" i="682"/>
  <c r="P207" i="682"/>
  <c r="Q207" i="682"/>
  <c r="S207" i="682" s="1"/>
  <c r="Q74" i="682"/>
  <c r="S74" i="682" s="1"/>
  <c r="P74" i="682"/>
  <c r="P157" i="682"/>
  <c r="Q157" i="682"/>
  <c r="P119" i="682"/>
  <c r="Q119" i="682"/>
  <c r="S119" i="682" s="1"/>
  <c r="R110" i="682"/>
  <c r="Q194" i="682"/>
  <c r="P194" i="682"/>
  <c r="Q19" i="682"/>
  <c r="S19" i="682" s="1"/>
  <c r="P19" i="682"/>
  <c r="Q102" i="682"/>
  <c r="S102" i="682" s="1"/>
  <c r="P102" i="682"/>
  <c r="Q58" i="682"/>
  <c r="S58" i="682" s="1"/>
  <c r="P58" i="682"/>
  <c r="P118" i="682"/>
  <c r="Q118" i="682"/>
  <c r="S118" i="682" s="1"/>
  <c r="Q90" i="682"/>
  <c r="S90" i="682" s="1"/>
  <c r="P90" i="682"/>
  <c r="P150" i="682"/>
  <c r="Q150" i="682"/>
  <c r="S150" i="682" s="1"/>
  <c r="Q186" i="682"/>
  <c r="S186" i="682" s="1"/>
  <c r="P186" i="682"/>
  <c r="Q164" i="682"/>
  <c r="S164" i="682" s="1"/>
  <c r="P164" i="682"/>
  <c r="Q103" i="682"/>
  <c r="S103" i="682" s="1"/>
  <c r="P103" i="682"/>
  <c r="P154" i="682"/>
  <c r="Q42" i="682"/>
  <c r="S42" i="682" s="1"/>
  <c r="P42" i="682"/>
  <c r="Q66" i="682"/>
  <c r="S66" i="682" s="1"/>
  <c r="P66" i="682"/>
  <c r="Q162" i="682"/>
  <c r="P162" i="682"/>
  <c r="P25" i="682"/>
  <c r="Q25" i="682"/>
  <c r="S25" i="682" s="1"/>
  <c r="Q101" i="682"/>
  <c r="S101" i="682" s="1"/>
  <c r="P101" i="682"/>
  <c r="R21" i="682"/>
  <c r="Q55" i="682"/>
  <c r="S55" i="682" s="1"/>
  <c r="P55" i="682"/>
  <c r="Q96" i="682"/>
  <c r="S96" i="682" s="1"/>
  <c r="P96" i="682"/>
  <c r="R139" i="682"/>
  <c r="P191" i="682"/>
  <c r="Q191" i="682"/>
  <c r="S191" i="682" s="1"/>
  <c r="P120" i="682"/>
  <c r="Q120" i="682"/>
  <c r="S120" i="682" s="1"/>
  <c r="P177" i="682"/>
  <c r="Q177" i="682"/>
  <c r="S177" i="682" s="1"/>
  <c r="P200" i="682"/>
  <c r="Q200" i="682"/>
  <c r="S200" i="682" s="1"/>
  <c r="P127" i="682"/>
  <c r="Q127" i="682"/>
  <c r="S127" i="682" s="1"/>
  <c r="Q156" i="682"/>
  <c r="S156" i="682" s="1"/>
  <c r="P156" i="682"/>
  <c r="P47" i="682"/>
  <c r="Q47" i="682"/>
  <c r="S47" i="682" s="1"/>
  <c r="Q204" i="682"/>
  <c r="S204" i="682" s="1"/>
  <c r="P204" i="682"/>
  <c r="Q50" i="682"/>
  <c r="S50" i="682" s="1"/>
  <c r="P50" i="682"/>
  <c r="Q37" i="682"/>
  <c r="S37" i="682" s="1"/>
  <c r="P37" i="682"/>
  <c r="Q169" i="682"/>
  <c r="S169" i="682" s="1"/>
  <c r="P169" i="682"/>
  <c r="P181" i="682"/>
  <c r="Q181" i="682"/>
  <c r="P91" i="682"/>
  <c r="Q91" i="682"/>
  <c r="S91" i="682" s="1"/>
  <c r="P39" i="682"/>
  <c r="Q39" i="682"/>
  <c r="S39" i="682" s="1"/>
  <c r="P137" i="682"/>
  <c r="Q137" i="682"/>
  <c r="S137" i="682" s="1"/>
  <c r="Q32" i="682"/>
  <c r="S32" i="682" s="1"/>
  <c r="P32" i="682"/>
  <c r="Q174" i="682"/>
  <c r="S174" i="682" s="1"/>
  <c r="P174" i="682"/>
  <c r="Q41" i="682"/>
  <c r="S41" i="682" s="1"/>
  <c r="P41" i="682"/>
  <c r="P160" i="682"/>
  <c r="Q160" i="682"/>
  <c r="S160" i="682" s="1"/>
  <c r="P145" i="682"/>
  <c r="Q145" i="682"/>
  <c r="P95" i="682"/>
  <c r="Q95" i="682"/>
  <c r="S95" i="682" s="1"/>
  <c r="Q38" i="682"/>
  <c r="S38" i="682" s="1"/>
  <c r="P38" i="682"/>
  <c r="Q135" i="682"/>
  <c r="P135" i="682"/>
  <c r="P161" i="682"/>
  <c r="R53" i="682"/>
  <c r="P84" i="682"/>
  <c r="R84" i="682"/>
  <c r="S84" i="682" s="1"/>
  <c r="Q62" i="682"/>
  <c r="P62" i="682"/>
  <c r="Q142" i="682"/>
  <c r="S142" i="682" s="1"/>
  <c r="P142" i="682"/>
  <c r="Q187" i="682"/>
  <c r="S187" i="682" s="1"/>
  <c r="P187" i="682"/>
  <c r="P190" i="682"/>
  <c r="Q190" i="682"/>
  <c r="S190" i="682" s="1"/>
  <c r="R154" i="682"/>
  <c r="Q23" i="682"/>
  <c r="S23" i="682" s="1"/>
  <c r="P23" i="682"/>
  <c r="P71" i="682"/>
  <c r="Q71" i="682"/>
  <c r="S71" i="682" s="1"/>
  <c r="P173" i="682"/>
  <c r="Q173" i="682"/>
  <c r="S173" i="682" s="1"/>
  <c r="Q81" i="682"/>
  <c r="S81" i="682" s="1"/>
  <c r="P81" i="682"/>
  <c r="Q117" i="682"/>
  <c r="S117" i="682" s="1"/>
  <c r="P117" i="682"/>
  <c r="Q198" i="682"/>
  <c r="S198" i="682" s="1"/>
  <c r="P198" i="682"/>
  <c r="P82" i="682"/>
  <c r="Q82" i="682"/>
  <c r="S82" i="682" s="1"/>
  <c r="P122" i="682"/>
  <c r="Q179" i="682"/>
  <c r="S179" i="682" s="1"/>
  <c r="P179" i="682"/>
  <c r="P106" i="682"/>
  <c r="Q106" i="682"/>
  <c r="P56" i="682"/>
  <c r="Q56" i="682"/>
  <c r="S56" i="682" s="1"/>
  <c r="R69" i="682"/>
  <c r="Q45" i="682"/>
  <c r="P45" i="682"/>
  <c r="P72" i="682"/>
  <c r="Q72" i="682"/>
  <c r="S72" i="682" s="1"/>
  <c r="R105" i="682"/>
  <c r="P167" i="682"/>
  <c r="Q18" i="682"/>
  <c r="S18" i="682" s="1"/>
  <c r="P18" i="682"/>
  <c r="P130" i="682"/>
  <c r="Q30" i="682"/>
  <c r="P30" i="682"/>
  <c r="Q24" i="682"/>
  <c r="S24" i="682" s="1"/>
  <c r="P24" i="682"/>
  <c r="Q27" i="682"/>
  <c r="S27" i="682" s="1"/>
  <c r="P27" i="682"/>
  <c r="Q178" i="682"/>
  <c r="S178" i="682" s="1"/>
  <c r="P178" i="682"/>
  <c r="Q159" i="682"/>
  <c r="P159" i="682"/>
  <c r="P193" i="682"/>
  <c r="P111" i="682"/>
  <c r="Q111" i="682"/>
  <c r="Q172" i="682"/>
  <c r="S172" i="682" s="1"/>
  <c r="P172" i="682"/>
  <c r="Q196" i="682"/>
  <c r="S196" i="682" s="1"/>
  <c r="P196" i="682"/>
  <c r="P128" i="682"/>
  <c r="Q128" i="682"/>
  <c r="S128" i="682" s="1"/>
  <c r="P155" i="682"/>
  <c r="Q155" i="682"/>
  <c r="Q201" i="682"/>
  <c r="S201" i="682" s="1"/>
  <c r="P201" i="682"/>
  <c r="P60" i="682"/>
  <c r="Q60" i="682"/>
  <c r="S60" i="682" s="1"/>
  <c r="Q152" i="682"/>
  <c r="S152" i="682" s="1"/>
  <c r="P152" i="682"/>
  <c r="P40" i="682"/>
  <c r="R40" i="682"/>
  <c r="S40" i="682" s="1"/>
  <c r="Q65" i="682"/>
  <c r="S65" i="682" s="1"/>
  <c r="P65" i="682"/>
  <c r="P141" i="682"/>
  <c r="Q141" i="682"/>
  <c r="S141" i="682" s="1"/>
  <c r="Q79" i="682"/>
  <c r="S79" i="682" s="1"/>
  <c r="P79" i="682"/>
  <c r="Q77" i="682"/>
  <c r="P77" i="682"/>
  <c r="P107" i="682"/>
  <c r="Q107" i="682"/>
  <c r="S107" i="682" s="1"/>
  <c r="P182" i="682"/>
  <c r="R182" i="682"/>
  <c r="S182" i="682" s="1"/>
  <c r="P86" i="682"/>
  <c r="Q86" i="682"/>
  <c r="S86" i="682" s="1"/>
  <c r="P98" i="682"/>
  <c r="Q98" i="682"/>
  <c r="S98" i="682" s="1"/>
  <c r="Q195" i="682"/>
  <c r="S195" i="682" s="1"/>
  <c r="P195" i="682"/>
  <c r="R144" i="682"/>
  <c r="P112" i="682"/>
  <c r="Q112" i="682"/>
  <c r="S112" i="682" s="1"/>
  <c r="P78" i="682"/>
  <c r="Q78" i="682"/>
  <c r="S78" i="682" s="1"/>
  <c r="Q192" i="682"/>
  <c r="S192" i="682" s="1"/>
  <c r="P192" i="682"/>
  <c r="Q64" i="682"/>
  <c r="S64" i="682" s="1"/>
  <c r="P64" i="682"/>
  <c r="Q114" i="682"/>
  <c r="S114" i="682" s="1"/>
  <c r="P114" i="682"/>
  <c r="Q147" i="682"/>
  <c r="S147" i="682" s="1"/>
  <c r="P147" i="682"/>
  <c r="P124" i="682"/>
  <c r="Q124" i="682"/>
  <c r="S124" i="682" s="1"/>
  <c r="P148" i="682"/>
  <c r="Q148" i="682"/>
  <c r="S148" i="682" s="1"/>
  <c r="P166" i="682"/>
  <c r="Q166" i="682"/>
  <c r="S166" i="682" s="1"/>
  <c r="R193" i="682"/>
  <c r="P138" i="682"/>
  <c r="Q138" i="682"/>
  <c r="S138" i="682" s="1"/>
  <c r="Q85" i="682"/>
  <c r="S85" i="682" s="1"/>
  <c r="P85" i="682"/>
  <c r="Q113" i="682"/>
  <c r="S113" i="682" s="1"/>
  <c r="P113" i="682"/>
  <c r="P48" i="682"/>
  <c r="Q48" i="682"/>
  <c r="S48" i="682" s="1"/>
  <c r="Q80" i="682"/>
  <c r="S80" i="682" s="1"/>
  <c r="P80" i="682"/>
  <c r="Q108" i="682"/>
  <c r="S108" i="682" s="1"/>
  <c r="P108" i="682"/>
  <c r="Q100" i="682"/>
  <c r="S100" i="682" s="1"/>
  <c r="P100" i="682"/>
  <c r="Q136" i="682"/>
  <c r="S136" i="682" s="1"/>
  <c r="P136" i="682"/>
  <c r="Q22" i="682"/>
  <c r="P22" i="682"/>
  <c r="P31" i="682"/>
  <c r="Q31" i="682"/>
  <c r="S31" i="682" s="1"/>
  <c r="P61" i="682"/>
  <c r="P105" i="682"/>
  <c r="Q163" i="682"/>
  <c r="S163" i="682" s="1"/>
  <c r="P163" i="682"/>
  <c r="Q116" i="682"/>
  <c r="S116" i="682" s="1"/>
  <c r="P116" i="682"/>
  <c r="P149" i="682"/>
  <c r="Q149" i="682"/>
  <c r="S149" i="682" s="1"/>
  <c r="P176" i="682"/>
  <c r="Q176" i="682"/>
  <c r="S176" i="682" s="1"/>
  <c r="Q202" i="682"/>
  <c r="S202" i="682" s="1"/>
  <c r="P202" i="682"/>
  <c r="P140" i="682"/>
  <c r="Q140" i="682"/>
  <c r="Q168" i="682"/>
  <c r="P168" i="682"/>
  <c r="M75" i="220"/>
  <c r="G22" i="555" s="1"/>
  <c r="R180" i="682" l="1"/>
  <c r="R122" i="682"/>
  <c r="S140" i="682"/>
  <c r="Q139" i="682"/>
  <c r="S181" i="682"/>
  <c r="Q180" i="682"/>
  <c r="S132" i="682"/>
  <c r="Q131" i="682"/>
  <c r="S135" i="682"/>
  <c r="Q134" i="682"/>
  <c r="Q205" i="682"/>
  <c r="S206" i="682"/>
  <c r="S89" i="682"/>
  <c r="Q88" i="682"/>
  <c r="S30" i="682"/>
  <c r="Q29" i="682"/>
  <c r="Q44" i="682"/>
  <c r="S45" i="682"/>
  <c r="S62" i="682"/>
  <c r="Q61" i="682"/>
  <c r="R76" i="682"/>
  <c r="S70" i="682"/>
  <c r="Q69" i="682"/>
  <c r="Q161" i="682"/>
  <c r="S162" i="682"/>
  <c r="S209" i="682"/>
  <c r="Q208" i="682"/>
  <c r="R29" i="682"/>
  <c r="R130" i="682"/>
  <c r="S22" i="682"/>
  <c r="Q21" i="682"/>
  <c r="S155" i="682"/>
  <c r="Q154" i="682"/>
  <c r="S111" i="682"/>
  <c r="Q110" i="682"/>
  <c r="R52" i="682"/>
  <c r="S54" i="682"/>
  <c r="Q53" i="682"/>
  <c r="Q16" i="682"/>
  <c r="S17" i="682"/>
  <c r="Q158" i="682"/>
  <c r="S159" i="682"/>
  <c r="S77" i="682"/>
  <c r="Q76" i="682"/>
  <c r="S168" i="682"/>
  <c r="Q167" i="682"/>
  <c r="S106" i="682"/>
  <c r="Q105" i="682"/>
  <c r="S145" i="682"/>
  <c r="Q144" i="682"/>
  <c r="Q193" i="682"/>
  <c r="S194" i="682"/>
  <c r="Q122" i="682"/>
  <c r="S123" i="682"/>
  <c r="K11" i="555"/>
  <c r="J129" i="220"/>
  <c r="R212" i="682" l="1"/>
  <c r="Q52" i="682"/>
  <c r="S161" i="682"/>
  <c r="S154" i="682"/>
  <c r="S29" i="682"/>
  <c r="S53" i="682"/>
  <c r="S158" i="682"/>
  <c r="S110" i="682"/>
  <c r="S208" i="682"/>
  <c r="S44" i="682"/>
  <c r="S144" i="682"/>
  <c r="S134" i="682"/>
  <c r="S105" i="682"/>
  <c r="S21" i="682"/>
  <c r="S88" i="682"/>
  <c r="S180" i="682"/>
  <c r="S16" i="682"/>
  <c r="S122" i="682"/>
  <c r="S69" i="682"/>
  <c r="S167" i="682"/>
  <c r="S205" i="682"/>
  <c r="Q130" i="682"/>
  <c r="Q212" i="682" s="1"/>
  <c r="S131" i="682"/>
  <c r="S193" i="682"/>
  <c r="S76" i="682"/>
  <c r="S61" i="682"/>
  <c r="S139" i="682"/>
  <c r="F26" i="555"/>
  <c r="E26" i="555"/>
  <c r="S130" i="682" l="1"/>
  <c r="S52" i="682"/>
  <c r="G26" i="555"/>
  <c r="Q20" i="7"/>
  <c r="S212" i="682" l="1"/>
  <c r="T44" i="682"/>
  <c r="T21" i="682"/>
  <c r="T16" i="682"/>
  <c r="T29" i="682"/>
  <c r="C31" i="561"/>
  <c r="J121" i="220"/>
  <c r="L110" i="220"/>
  <c r="K110" i="220"/>
  <c r="J110" i="220"/>
  <c r="J60" i="220"/>
  <c r="J61" i="220"/>
  <c r="K61" i="220"/>
  <c r="K60" i="220" s="1"/>
  <c r="L61" i="220"/>
  <c r="L60" i="220" s="1"/>
  <c r="J68" i="220"/>
  <c r="J69" i="220"/>
  <c r="K69" i="220"/>
  <c r="K68" i="220" s="1"/>
  <c r="L69" i="220"/>
  <c r="L68" i="220" s="1"/>
  <c r="J91" i="220"/>
  <c r="K91" i="220"/>
  <c r="K87" i="220" s="1"/>
  <c r="E23" i="555" s="1"/>
  <c r="L91" i="220"/>
  <c r="L87" i="220" s="1"/>
  <c r="F23" i="555" s="1"/>
  <c r="J104" i="220"/>
  <c r="K104" i="220"/>
  <c r="E24" i="555" s="1"/>
  <c r="L104" i="220"/>
  <c r="F24" i="555" s="1"/>
  <c r="T165" i="682" l="1"/>
  <c r="T119" i="682"/>
  <c r="T42" i="682"/>
  <c r="T71" i="682"/>
  <c r="T166" i="682"/>
  <c r="T102" i="682"/>
  <c r="T46" i="682"/>
  <c r="T80" i="682"/>
  <c r="T19" i="682"/>
  <c r="T118" i="682"/>
  <c r="T48" i="682"/>
  <c r="T90" i="682"/>
  <c r="T81" i="682"/>
  <c r="T189" i="682"/>
  <c r="T103" i="682"/>
  <c r="T82" i="682"/>
  <c r="T184" i="682"/>
  <c r="T174" i="682"/>
  <c r="T152" i="682"/>
  <c r="T60" i="682"/>
  <c r="T124" i="682"/>
  <c r="T138" i="682"/>
  <c r="T72" i="682"/>
  <c r="T120" i="682"/>
  <c r="T92" i="682"/>
  <c r="T49" i="682"/>
  <c r="T100" i="682"/>
  <c r="T113" i="682"/>
  <c r="T98" i="682"/>
  <c r="T86" i="682"/>
  <c r="T142" i="682"/>
  <c r="T201" i="682"/>
  <c r="T66" i="682"/>
  <c r="T182" i="682"/>
  <c r="T157" i="682"/>
  <c r="T25" i="682"/>
  <c r="T101" i="682"/>
  <c r="T112" i="682"/>
  <c r="T143" i="682"/>
  <c r="T185" i="682"/>
  <c r="T172" i="682"/>
  <c r="T203" i="682"/>
  <c r="T74" i="682"/>
  <c r="T141" i="682"/>
  <c r="T108" i="682"/>
  <c r="T38" i="682"/>
  <c r="T78" i="682"/>
  <c r="T146" i="682"/>
  <c r="T173" i="682"/>
  <c r="T83" i="682"/>
  <c r="T151" i="682"/>
  <c r="T188" i="682"/>
  <c r="T126" i="682"/>
  <c r="T107" i="682"/>
  <c r="T95" i="682"/>
  <c r="T114" i="682"/>
  <c r="T175" i="682"/>
  <c r="T127" i="682"/>
  <c r="T93" i="682"/>
  <c r="T198" i="682"/>
  <c r="T179" i="682"/>
  <c r="T195" i="682"/>
  <c r="T192" i="682"/>
  <c r="T147" i="682"/>
  <c r="T137" i="682"/>
  <c r="T183" i="682"/>
  <c r="T31" i="682"/>
  <c r="T26" i="682"/>
  <c r="T97" i="682"/>
  <c r="T39" i="682"/>
  <c r="T164" i="682"/>
  <c r="T36" i="682"/>
  <c r="T171" i="682"/>
  <c r="T35" i="682"/>
  <c r="T150" i="682"/>
  <c r="T79" i="682"/>
  <c r="T63" i="682"/>
  <c r="T170" i="682"/>
  <c r="T163" i="682"/>
  <c r="T64" i="682"/>
  <c r="T94" i="682"/>
  <c r="T24" i="682"/>
  <c r="T85" i="682"/>
  <c r="T41" i="682"/>
  <c r="T202" i="682"/>
  <c r="T116" i="682"/>
  <c r="T190" i="682"/>
  <c r="T57" i="682"/>
  <c r="T115" i="682"/>
  <c r="T153" i="682"/>
  <c r="T197" i="682"/>
  <c r="T37" i="682"/>
  <c r="T84" i="682"/>
  <c r="T34" i="682"/>
  <c r="T18" i="682"/>
  <c r="T59" i="682"/>
  <c r="T47" i="682"/>
  <c r="T128" i="682"/>
  <c r="T199" i="682"/>
  <c r="T187" i="682"/>
  <c r="T23" i="682"/>
  <c r="T65" i="682"/>
  <c r="T156" i="682"/>
  <c r="T32" i="682"/>
  <c r="T117" i="682"/>
  <c r="T40" i="682"/>
  <c r="T58" i="682"/>
  <c r="T56" i="682"/>
  <c r="T27" i="682"/>
  <c r="T136" i="682"/>
  <c r="T204" i="682"/>
  <c r="T125" i="682"/>
  <c r="T99" i="682"/>
  <c r="T169" i="682"/>
  <c r="T200" i="682"/>
  <c r="T50" i="682"/>
  <c r="T96" i="682"/>
  <c r="T196" i="682"/>
  <c r="T67" i="682"/>
  <c r="T177" i="682"/>
  <c r="T178" i="682"/>
  <c r="T33" i="682"/>
  <c r="T160" i="682"/>
  <c r="T91" i="682"/>
  <c r="T191" i="682"/>
  <c r="T149" i="682"/>
  <c r="T55" i="682"/>
  <c r="T186" i="682"/>
  <c r="T176" i="682"/>
  <c r="T133" i="682"/>
  <c r="T73" i="682"/>
  <c r="T148" i="682"/>
  <c r="T140" i="682"/>
  <c r="T194" i="682"/>
  <c r="T111" i="682"/>
  <c r="T159" i="682"/>
  <c r="T62" i="682"/>
  <c r="T22" i="682"/>
  <c r="T162" i="682"/>
  <c r="T70" i="682"/>
  <c r="T54" i="682"/>
  <c r="T145" i="682"/>
  <c r="T181" i="682"/>
  <c r="T17" i="682"/>
  <c r="T89" i="682"/>
  <c r="T168" i="682"/>
  <c r="T209" i="682"/>
  <c r="T155" i="682"/>
  <c r="T135" i="682"/>
  <c r="T206" i="682"/>
  <c r="T106" i="682"/>
  <c r="T30" i="682"/>
  <c r="T77" i="682"/>
  <c r="T132" i="682"/>
  <c r="T123" i="682"/>
  <c r="T45" i="682"/>
  <c r="T88" i="682"/>
  <c r="T69" i="682"/>
  <c r="T193" i="682"/>
  <c r="T134" i="682"/>
  <c r="T161" i="682"/>
  <c r="T61" i="682"/>
  <c r="T122" i="682"/>
  <c r="T154" i="682"/>
  <c r="T158" i="682"/>
  <c r="T105" i="682"/>
  <c r="T180" i="682"/>
  <c r="T144" i="682"/>
  <c r="T139" i="682"/>
  <c r="T53" i="682"/>
  <c r="T76" i="682"/>
  <c r="T131" i="682"/>
  <c r="T208" i="682"/>
  <c r="T205" i="682"/>
  <c r="T167" i="682"/>
  <c r="T110" i="682"/>
  <c r="T52" i="682"/>
  <c r="T130" i="682"/>
  <c r="F21" i="555"/>
  <c r="E21" i="555"/>
  <c r="K109" i="220"/>
  <c r="E25" i="555" s="1"/>
  <c r="L109" i="220"/>
  <c r="F25" i="555" s="1"/>
  <c r="M104" i="220"/>
  <c r="G24" i="555" s="1"/>
  <c r="M69" i="220"/>
  <c r="M68" i="220" s="1"/>
  <c r="M110" i="220"/>
  <c r="M91" i="220"/>
  <c r="M87" i="220" s="1"/>
  <c r="G23" i="555" s="1"/>
  <c r="M61" i="220"/>
  <c r="M60" i="220" s="1"/>
  <c r="G21" i="555" l="1"/>
  <c r="M109" i="220"/>
  <c r="G25" i="555" s="1"/>
  <c r="Q16" i="7"/>
  <c r="C9" i="607" l="1"/>
  <c r="G8" i="607"/>
  <c r="K7" i="607"/>
  <c r="G7" i="607"/>
  <c r="C7" i="607"/>
  <c r="K6" i="607"/>
  <c r="G6" i="607"/>
  <c r="C6" i="607"/>
  <c r="L17" i="220"/>
  <c r="K17" i="220"/>
  <c r="L16" i="220"/>
  <c r="K16" i="220"/>
  <c r="L25" i="220"/>
  <c r="K25" i="220"/>
  <c r="L23" i="220"/>
  <c r="K23" i="220"/>
  <c r="L22" i="220"/>
  <c r="K22" i="220"/>
  <c r="L21" i="220"/>
  <c r="K21" i="220"/>
  <c r="L30" i="220"/>
  <c r="K30" i="220"/>
  <c r="L29" i="220"/>
  <c r="L28" i="220" s="1"/>
  <c r="K29" i="220"/>
  <c r="L44" i="220"/>
  <c r="L43" i="220" s="1"/>
  <c r="K44" i="220"/>
  <c r="K43" i="220" s="1"/>
  <c r="J44" i="220"/>
  <c r="J30" i="220"/>
  <c r="J29" i="220"/>
  <c r="J57" i="220"/>
  <c r="J53" i="220"/>
  <c r="K28" i="220" l="1"/>
  <c r="L20" i="220"/>
  <c r="K20" i="220"/>
  <c r="K15" i="220"/>
  <c r="E16" i="555" s="1"/>
  <c r="L15" i="220"/>
  <c r="F16" i="555" s="1"/>
  <c r="E18" i="555"/>
  <c r="F18" i="555"/>
  <c r="E19" i="555"/>
  <c r="F19" i="555"/>
  <c r="M30" i="220"/>
  <c r="M21" i="220"/>
  <c r="M22" i="220"/>
  <c r="M16" i="220"/>
  <c r="M44" i="220"/>
  <c r="M43" i="220" s="1"/>
  <c r="M23" i="220"/>
  <c r="M17" i="220"/>
  <c r="M29" i="220"/>
  <c r="M25" i="220"/>
  <c r="M28" i="220" l="1"/>
  <c r="G18" i="555" s="1"/>
  <c r="M20" i="220"/>
  <c r="G17" i="555" s="1"/>
  <c r="M15" i="220"/>
  <c r="G16" i="555" s="1"/>
  <c r="E17" i="555"/>
  <c r="F17" i="555"/>
  <c r="G19" i="555"/>
  <c r="L57" i="220"/>
  <c r="K57" i="220"/>
  <c r="L53" i="220"/>
  <c r="K53" i="220"/>
  <c r="K52" i="220" l="1"/>
  <c r="K51" i="220" s="1"/>
  <c r="E20" i="555" s="1"/>
  <c r="L52" i="220"/>
  <c r="L51" i="220" s="1"/>
  <c r="F20" i="555" s="1"/>
  <c r="M57" i="220"/>
  <c r="M53" i="220"/>
  <c r="K213" i="220" l="1"/>
  <c r="L213" i="220"/>
  <c r="M52" i="220"/>
  <c r="M51" i="220" s="1"/>
  <c r="G20" i="555" l="1"/>
  <c r="M213" i="220"/>
  <c r="C11" i="548"/>
  <c r="G10" i="548"/>
  <c r="J9" i="548"/>
  <c r="G9" i="548"/>
  <c r="C9" i="548"/>
  <c r="J8" i="548"/>
  <c r="G8" i="548"/>
  <c r="C8" i="548"/>
  <c r="AH11" i="561"/>
  <c r="AG11" i="561"/>
  <c r="C11" i="561"/>
  <c r="AG10" i="561"/>
  <c r="T10" i="561"/>
  <c r="AG9" i="561"/>
  <c r="S9" i="561"/>
  <c r="C9" i="561"/>
  <c r="AG8" i="561"/>
  <c r="T8" i="561"/>
  <c r="C8" i="561"/>
  <c r="C11" i="220"/>
  <c r="P10" i="220"/>
  <c r="C10" i="7"/>
  <c r="T9" i="220"/>
  <c r="AH8" i="561" s="1"/>
  <c r="P9" i="220"/>
  <c r="Q9" i="7" s="1"/>
  <c r="C9" i="220"/>
  <c r="C9" i="7" s="1"/>
  <c r="T8" i="220"/>
  <c r="AH7" i="561" s="1"/>
  <c r="P8" i="220"/>
  <c r="Q8" i="7" s="1"/>
  <c r="C8" i="220"/>
  <c r="C8" i="7" s="1"/>
  <c r="H10" i="555"/>
  <c r="K9" i="555"/>
  <c r="C9" i="555"/>
  <c r="K8" i="555"/>
  <c r="H8" i="555"/>
  <c r="C8" i="555"/>
  <c r="J11" i="548"/>
  <c r="G11" i="681" s="1"/>
  <c r="G8" i="681" l="1"/>
  <c r="Y9" i="554"/>
  <c r="G7" i="681"/>
  <c r="Y8" i="554"/>
  <c r="G10" i="681"/>
  <c r="Y11" i="554"/>
  <c r="Y10" i="554"/>
  <c r="G9" i="681"/>
  <c r="Y9" i="678"/>
  <c r="Y9" i="677"/>
  <c r="Y9" i="679"/>
  <c r="Y11" i="679"/>
  <c r="Y11" i="678"/>
  <c r="Y11" i="677"/>
  <c r="Y8" i="679"/>
  <c r="Y8" i="678"/>
  <c r="Y8" i="677"/>
  <c r="Y10" i="677"/>
  <c r="Y10" i="679"/>
  <c r="Y10" i="678"/>
  <c r="T11" i="220"/>
  <c r="K9" i="607"/>
  <c r="K8" i="607"/>
  <c r="K10" i="555"/>
  <c r="T10" i="220"/>
  <c r="J10" i="548"/>
  <c r="E11" i="681" s="1"/>
  <c r="N203" i="220" l="1"/>
  <c r="O203" i="220"/>
  <c r="R203" i="220" s="1"/>
  <c r="N73" i="220"/>
  <c r="O73" i="220"/>
  <c r="R73" i="220" s="1"/>
  <c r="N41" i="220"/>
  <c r="O41" i="220"/>
  <c r="R41" i="220" s="1"/>
  <c r="N72" i="220"/>
  <c r="O72" i="220"/>
  <c r="R72" i="220" s="1"/>
  <c r="O39" i="220"/>
  <c r="N39" i="220"/>
  <c r="Q39" i="220" s="1"/>
  <c r="O40" i="220"/>
  <c r="R40" i="220" s="1"/>
  <c r="N38" i="220"/>
  <c r="O38" i="220"/>
  <c r="R38" i="220" s="1"/>
  <c r="N40" i="220"/>
  <c r="N48" i="220"/>
  <c r="Q48" i="220" s="1"/>
  <c r="O47" i="220"/>
  <c r="R47" i="220" s="1"/>
  <c r="N46" i="220"/>
  <c r="N49" i="220"/>
  <c r="O49" i="220"/>
  <c r="R49" i="220" s="1"/>
  <c r="N47" i="220"/>
  <c r="O48" i="220"/>
  <c r="N37" i="220"/>
  <c r="O46" i="220"/>
  <c r="R46" i="220" s="1"/>
  <c r="O37" i="220"/>
  <c r="R37" i="220" s="1"/>
  <c r="O45" i="220"/>
  <c r="R45" i="220" s="1"/>
  <c r="N45" i="220"/>
  <c r="N118" i="220"/>
  <c r="O118" i="220"/>
  <c r="R118" i="220" s="1"/>
  <c r="N119" i="220"/>
  <c r="Q119" i="220" s="1"/>
  <c r="O119" i="220"/>
  <c r="N127" i="220"/>
  <c r="O127" i="220"/>
  <c r="R127" i="220" s="1"/>
  <c r="O36" i="220"/>
  <c r="R36" i="220" s="1"/>
  <c r="N36" i="220"/>
  <c r="O199" i="220"/>
  <c r="R199" i="220" s="1"/>
  <c r="N199" i="220"/>
  <c r="N186" i="220"/>
  <c r="O186" i="220"/>
  <c r="R186" i="220" s="1"/>
  <c r="N126" i="220"/>
  <c r="O126" i="220"/>
  <c r="R126" i="220" s="1"/>
  <c r="N173" i="220"/>
  <c r="O173" i="220"/>
  <c r="R173" i="220" s="1"/>
  <c r="N31" i="220"/>
  <c r="N34" i="220"/>
  <c r="O35" i="220"/>
  <c r="R35" i="220" s="1"/>
  <c r="O31" i="220"/>
  <c r="R31" i="220" s="1"/>
  <c r="O34" i="220"/>
  <c r="R34" i="220" s="1"/>
  <c r="N33" i="220"/>
  <c r="O33" i="220"/>
  <c r="R33" i="220" s="1"/>
  <c r="N32" i="220"/>
  <c r="N35" i="220"/>
  <c r="O32" i="220"/>
  <c r="R32" i="220" s="1"/>
  <c r="N26" i="220"/>
  <c r="O26" i="220"/>
  <c r="R26" i="220" s="1"/>
  <c r="N125" i="220"/>
  <c r="O125" i="220"/>
  <c r="R125" i="220" s="1"/>
  <c r="N124" i="220"/>
  <c r="Q124" i="220" s="1"/>
  <c r="O124" i="220"/>
  <c r="N85" i="220"/>
  <c r="O85" i="220"/>
  <c r="R85" i="220" s="1"/>
  <c r="N84" i="220"/>
  <c r="O84" i="220"/>
  <c r="R84" i="220" s="1"/>
  <c r="N178" i="220"/>
  <c r="O178" i="220"/>
  <c r="R178" i="220" s="1"/>
  <c r="O191" i="220"/>
  <c r="R191" i="220" s="1"/>
  <c r="N191" i="220"/>
  <c r="O204" i="220"/>
  <c r="N204" i="220"/>
  <c r="Q204" i="220" s="1"/>
  <c r="O123" i="220"/>
  <c r="R123" i="220" s="1"/>
  <c r="N123" i="220"/>
  <c r="N155" i="220"/>
  <c r="O155" i="220"/>
  <c r="R155" i="220" s="1"/>
  <c r="N156" i="220"/>
  <c r="O156" i="220"/>
  <c r="R156" i="220" s="1"/>
  <c r="O190" i="220"/>
  <c r="R190" i="220" s="1"/>
  <c r="N190" i="220"/>
  <c r="O177" i="220"/>
  <c r="R177" i="220" s="1"/>
  <c r="N177" i="220"/>
  <c r="N162" i="220"/>
  <c r="O162" i="220"/>
  <c r="R162" i="220" s="1"/>
  <c r="N163" i="220"/>
  <c r="O163" i="220"/>
  <c r="R163" i="220" s="1"/>
  <c r="N181" i="220"/>
  <c r="N183" i="220"/>
  <c r="O184" i="220"/>
  <c r="R184" i="220" s="1"/>
  <c r="N185" i="220"/>
  <c r="O187" i="220"/>
  <c r="R187" i="220" s="1"/>
  <c r="O189" i="220"/>
  <c r="R189" i="220" s="1"/>
  <c r="N193" i="220"/>
  <c r="O196" i="220"/>
  <c r="R196" i="220" s="1"/>
  <c r="O198" i="220"/>
  <c r="R198" i="220" s="1"/>
  <c r="O206" i="220"/>
  <c r="R206" i="220" s="1"/>
  <c r="R205" i="220" s="1"/>
  <c r="N209" i="220"/>
  <c r="O180" i="220"/>
  <c r="R180" i="220" s="1"/>
  <c r="N179" i="220"/>
  <c r="O192" i="220"/>
  <c r="O181" i="220"/>
  <c r="R181" i="220" s="1"/>
  <c r="O183" i="220"/>
  <c r="R183" i="220" s="1"/>
  <c r="O185" i="220"/>
  <c r="R185" i="220" s="1"/>
  <c r="O193" i="220"/>
  <c r="R193" i="220" s="1"/>
  <c r="N194" i="220"/>
  <c r="N201" i="220"/>
  <c r="O209" i="220"/>
  <c r="R209" i="220" s="1"/>
  <c r="R208" i="220" s="1"/>
  <c r="I28" i="555" s="1"/>
  <c r="N180" i="220"/>
  <c r="O208" i="220"/>
  <c r="O205" i="220"/>
  <c r="N192" i="220"/>
  <c r="N182" i="220"/>
  <c r="N188" i="220"/>
  <c r="O194" i="220"/>
  <c r="R194" i="220" s="1"/>
  <c r="N195" i="220"/>
  <c r="N197" i="220"/>
  <c r="N200" i="220"/>
  <c r="O201" i="220"/>
  <c r="R201" i="220" s="1"/>
  <c r="N202" i="220"/>
  <c r="N207" i="220"/>
  <c r="N208" i="220"/>
  <c r="N205" i="220"/>
  <c r="O182" i="220"/>
  <c r="R182" i="220" s="1"/>
  <c r="N184" i="220"/>
  <c r="N187" i="220"/>
  <c r="O188" i="220"/>
  <c r="R188" i="220" s="1"/>
  <c r="N189" i="220"/>
  <c r="O195" i="220"/>
  <c r="R195" i="220" s="1"/>
  <c r="N196" i="220"/>
  <c r="O197" i="220"/>
  <c r="R197" i="220" s="1"/>
  <c r="N198" i="220"/>
  <c r="O200" i="220"/>
  <c r="R200" i="220" s="1"/>
  <c r="O202" i="220"/>
  <c r="R202" i="220" s="1"/>
  <c r="N206" i="220"/>
  <c r="O207" i="220"/>
  <c r="R207" i="220" s="1"/>
  <c r="O179" i="220"/>
  <c r="N166" i="220"/>
  <c r="O160" i="220"/>
  <c r="N160" i="220"/>
  <c r="O166" i="220"/>
  <c r="O157" i="220"/>
  <c r="O153" i="220"/>
  <c r="O159" i="220"/>
  <c r="R159" i="220" s="1"/>
  <c r="O164" i="220"/>
  <c r="R164" i="220" s="1"/>
  <c r="O165" i="220"/>
  <c r="R165" i="220" s="1"/>
  <c r="O167" i="220"/>
  <c r="R167" i="220" s="1"/>
  <c r="N168" i="220"/>
  <c r="O169" i="220"/>
  <c r="R169" i="220" s="1"/>
  <c r="O171" i="220"/>
  <c r="R171" i="220" s="1"/>
  <c r="N172" i="220"/>
  <c r="O174" i="220"/>
  <c r="R174" i="220" s="1"/>
  <c r="O175" i="220"/>
  <c r="R175" i="220" s="1"/>
  <c r="N176" i="220"/>
  <c r="N157" i="220"/>
  <c r="N158" i="220"/>
  <c r="Q158" i="220" s="1"/>
  <c r="N161" i="220"/>
  <c r="Q161" i="220" s="1"/>
  <c r="O168" i="220"/>
  <c r="R168" i="220" s="1"/>
  <c r="N170" i="220"/>
  <c r="Q170" i="220" s="1"/>
  <c r="O172" i="220"/>
  <c r="R172" i="220" s="1"/>
  <c r="O176" i="220"/>
  <c r="R176" i="220" s="1"/>
  <c r="N164" i="220"/>
  <c r="N165" i="220"/>
  <c r="N175" i="220"/>
  <c r="N154" i="220"/>
  <c r="Q154" i="220" s="1"/>
  <c r="O158" i="220"/>
  <c r="N167" i="220"/>
  <c r="N169" i="220"/>
  <c r="O170" i="220"/>
  <c r="N153" i="220"/>
  <c r="O154" i="220"/>
  <c r="N159" i="220"/>
  <c r="N171" i="220"/>
  <c r="N174" i="220"/>
  <c r="O161" i="220"/>
  <c r="O138" i="220"/>
  <c r="O143" i="220"/>
  <c r="N138" i="220"/>
  <c r="N143" i="220"/>
  <c r="N111" i="220"/>
  <c r="O112" i="220"/>
  <c r="R112" i="220" s="1"/>
  <c r="O115" i="220"/>
  <c r="N116" i="220"/>
  <c r="N117" i="220"/>
  <c r="O111" i="220"/>
  <c r="R111" i="220" s="1"/>
  <c r="N113" i="220"/>
  <c r="Q113" i="220" s="1"/>
  <c r="O116" i="220"/>
  <c r="R116" i="220" s="1"/>
  <c r="O117" i="220"/>
  <c r="R117" i="220" s="1"/>
  <c r="O113" i="220"/>
  <c r="N114" i="220"/>
  <c r="N112" i="220"/>
  <c r="N115" i="220"/>
  <c r="Q115" i="220" s="1"/>
  <c r="O114" i="220"/>
  <c r="R114" i="220" s="1"/>
  <c r="N105" i="220"/>
  <c r="N107" i="220"/>
  <c r="O105" i="220"/>
  <c r="R105" i="220" s="1"/>
  <c r="O107" i="220"/>
  <c r="R107" i="220" s="1"/>
  <c r="N106" i="220"/>
  <c r="Q106" i="220" s="1"/>
  <c r="N108" i="220"/>
  <c r="O106" i="220"/>
  <c r="O108" i="220"/>
  <c r="R108" i="220" s="1"/>
  <c r="N82" i="220"/>
  <c r="N83" i="220"/>
  <c r="N81" i="220"/>
  <c r="O82" i="220"/>
  <c r="R82" i="220" s="1"/>
  <c r="O83" i="220"/>
  <c r="R83" i="220" s="1"/>
  <c r="O81" i="220"/>
  <c r="R81" i="220" s="1"/>
  <c r="O151" i="220"/>
  <c r="R151" i="220" s="1"/>
  <c r="O149" i="220"/>
  <c r="R149" i="220" s="1"/>
  <c r="O147" i="220"/>
  <c r="R147" i="220" s="1"/>
  <c r="O145" i="220"/>
  <c r="R145" i="220" s="1"/>
  <c r="O142" i="220"/>
  <c r="R142" i="220" s="1"/>
  <c r="O140" i="220"/>
  <c r="R140" i="220" s="1"/>
  <c r="O137" i="220"/>
  <c r="R137" i="220" s="1"/>
  <c r="O135" i="220"/>
  <c r="R135" i="220" s="1"/>
  <c r="O133" i="220"/>
  <c r="O132" i="220"/>
  <c r="R132" i="220" s="1"/>
  <c r="O129" i="220"/>
  <c r="O122" i="220"/>
  <c r="R122" i="220" s="1"/>
  <c r="O110" i="220"/>
  <c r="R110" i="220" s="1"/>
  <c r="O109" i="220"/>
  <c r="O103" i="220"/>
  <c r="R103" i="220" s="1"/>
  <c r="O102" i="220"/>
  <c r="R102" i="220" s="1"/>
  <c r="O100" i="220"/>
  <c r="R100" i="220" s="1"/>
  <c r="O98" i="220"/>
  <c r="R98" i="220" s="1"/>
  <c r="O96" i="220"/>
  <c r="R96" i="220" s="1"/>
  <c r="O94" i="220"/>
  <c r="R94" i="220" s="1"/>
  <c r="O92" i="220"/>
  <c r="R92" i="220" s="1"/>
  <c r="O90" i="220"/>
  <c r="R90" i="220" s="1"/>
  <c r="O88" i="220"/>
  <c r="R88" i="220" s="1"/>
  <c r="O80" i="220"/>
  <c r="R80" i="220" s="1"/>
  <c r="O78" i="220"/>
  <c r="R78" i="220" s="1"/>
  <c r="O76" i="220"/>
  <c r="R76" i="220" s="1"/>
  <c r="O75" i="220"/>
  <c r="O71" i="220"/>
  <c r="R71" i="220" s="1"/>
  <c r="O69" i="220"/>
  <c r="R69" i="220" s="1"/>
  <c r="O66" i="220"/>
  <c r="R66" i="220" s="1"/>
  <c r="O61" i="220"/>
  <c r="R61" i="220" s="1"/>
  <c r="O58" i="220"/>
  <c r="R58" i="220" s="1"/>
  <c r="O56" i="220"/>
  <c r="R56" i="220" s="1"/>
  <c r="O54" i="220"/>
  <c r="R54" i="220" s="1"/>
  <c r="O52" i="220"/>
  <c r="O44" i="220"/>
  <c r="R44" i="220" s="1"/>
  <c r="O30" i="220"/>
  <c r="R30" i="220" s="1"/>
  <c r="O25" i="220"/>
  <c r="R25" i="220" s="1"/>
  <c r="O23" i="220"/>
  <c r="R23" i="220" s="1"/>
  <c r="O21" i="220"/>
  <c r="R21" i="220" s="1"/>
  <c r="O17" i="220"/>
  <c r="R17" i="220" s="1"/>
  <c r="N152" i="220"/>
  <c r="N149" i="220"/>
  <c r="O146" i="220"/>
  <c r="R146" i="220" s="1"/>
  <c r="N144" i="220"/>
  <c r="O141" i="220"/>
  <c r="R141" i="220" s="1"/>
  <c r="N139" i="220"/>
  <c r="N137" i="220"/>
  <c r="O134" i="220"/>
  <c r="R134" i="220" s="1"/>
  <c r="N129" i="220"/>
  <c r="O121" i="220"/>
  <c r="N109" i="220"/>
  <c r="N104" i="220"/>
  <c r="N100" i="220"/>
  <c r="O97" i="220"/>
  <c r="R97" i="220" s="1"/>
  <c r="N95" i="220"/>
  <c r="N92" i="220"/>
  <c r="O89" i="220"/>
  <c r="R89" i="220" s="1"/>
  <c r="N87" i="220"/>
  <c r="N78" i="220"/>
  <c r="N71" i="220"/>
  <c r="O68" i="220"/>
  <c r="N65" i="220"/>
  <c r="O62" i="220"/>
  <c r="R62" i="220" s="1"/>
  <c r="N60" i="220"/>
  <c r="O57" i="220"/>
  <c r="R57" i="220" s="1"/>
  <c r="N55" i="220"/>
  <c r="N52" i="220"/>
  <c r="N43" i="220"/>
  <c r="N30" i="220"/>
  <c r="O24" i="220"/>
  <c r="R24" i="220" s="1"/>
  <c r="N22" i="220"/>
  <c r="N17" i="220"/>
  <c r="N151" i="220"/>
  <c r="O148" i="220"/>
  <c r="R148" i="220" s="1"/>
  <c r="N146" i="220"/>
  <c r="N141" i="220"/>
  <c r="O136" i="220"/>
  <c r="R136" i="220" s="1"/>
  <c r="N134" i="220"/>
  <c r="N132" i="220"/>
  <c r="N121" i="220"/>
  <c r="N110" i="220"/>
  <c r="N103" i="220"/>
  <c r="N102" i="220"/>
  <c r="O99" i="220"/>
  <c r="R99" i="220" s="1"/>
  <c r="N97" i="220"/>
  <c r="N94" i="220"/>
  <c r="O91" i="220"/>
  <c r="R91" i="220" s="1"/>
  <c r="N89" i="220"/>
  <c r="N80" i="220"/>
  <c r="O77" i="220"/>
  <c r="R77" i="220" s="1"/>
  <c r="N75" i="220"/>
  <c r="O70" i="220"/>
  <c r="R70" i="220" s="1"/>
  <c r="N68" i="220"/>
  <c r="O63" i="220"/>
  <c r="R63" i="220" s="1"/>
  <c r="N62" i="220"/>
  <c r="O59" i="220"/>
  <c r="R59" i="220" s="1"/>
  <c r="N57" i="220"/>
  <c r="N54" i="220"/>
  <c r="O51" i="220"/>
  <c r="O29" i="220"/>
  <c r="R29" i="220" s="1"/>
  <c r="N24" i="220"/>
  <c r="N21" i="220"/>
  <c r="O150" i="220"/>
  <c r="R150" i="220" s="1"/>
  <c r="N148" i="220"/>
  <c r="N145" i="220"/>
  <c r="N140" i="220"/>
  <c r="N136" i="220"/>
  <c r="N133" i="220"/>
  <c r="O131" i="220"/>
  <c r="R131" i="220" s="1"/>
  <c r="O101" i="220"/>
  <c r="R101" i="220" s="1"/>
  <c r="N99" i="220"/>
  <c r="N96" i="220"/>
  <c r="O93" i="220"/>
  <c r="R93" i="220" s="1"/>
  <c r="N91" i="220"/>
  <c r="N88" i="220"/>
  <c r="O79" i="220"/>
  <c r="R79" i="220" s="1"/>
  <c r="N77" i="220"/>
  <c r="N70" i="220"/>
  <c r="N66" i="220"/>
  <c r="N147" i="220"/>
  <c r="O139" i="220"/>
  <c r="R139" i="220" s="1"/>
  <c r="N131" i="220"/>
  <c r="N98" i="220"/>
  <c r="O87" i="220"/>
  <c r="O65" i="220"/>
  <c r="R65" i="220" s="1"/>
  <c r="O55" i="220"/>
  <c r="R55" i="220" s="1"/>
  <c r="O22" i="220"/>
  <c r="R22" i="220" s="1"/>
  <c r="O144" i="220"/>
  <c r="R144" i="220" s="1"/>
  <c r="N122" i="220"/>
  <c r="O104" i="220"/>
  <c r="O95" i="220"/>
  <c r="R95" i="220" s="1"/>
  <c r="N79" i="220"/>
  <c r="O64" i="220"/>
  <c r="R64" i="220" s="1"/>
  <c r="N61" i="220"/>
  <c r="N59" i="220"/>
  <c r="O53" i="220"/>
  <c r="R53" i="220" s="1"/>
  <c r="N44" i="220"/>
  <c r="N29" i="220"/>
  <c r="O18" i="220"/>
  <c r="R18" i="220" s="1"/>
  <c r="O152" i="220"/>
  <c r="R152" i="220" s="1"/>
  <c r="N135" i="220"/>
  <c r="N93" i="220"/>
  <c r="N76" i="220"/>
  <c r="N64" i="220"/>
  <c r="O60" i="220"/>
  <c r="N58" i="220"/>
  <c r="N53" i="220"/>
  <c r="O43" i="220"/>
  <c r="N25" i="220"/>
  <c r="N18" i="220"/>
  <c r="N150" i="220"/>
  <c r="N142" i="220"/>
  <c r="N101" i="220"/>
  <c r="N90" i="220"/>
  <c r="N69" i="220"/>
  <c r="N63" i="220"/>
  <c r="N56" i="220"/>
  <c r="N51" i="220"/>
  <c r="N23" i="220"/>
  <c r="O28" i="220"/>
  <c r="N28" i="220"/>
  <c r="O27" i="220"/>
  <c r="N27" i="220"/>
  <c r="AH10" i="561"/>
  <c r="O16" i="220"/>
  <c r="R16" i="220" s="1"/>
  <c r="N16" i="220"/>
  <c r="O19" i="220"/>
  <c r="N19" i="220"/>
  <c r="F32" i="555"/>
  <c r="E32" i="555"/>
  <c r="AH9" i="561"/>
  <c r="P203" i="220" l="1"/>
  <c r="Q203" i="220"/>
  <c r="S203" i="220" s="1"/>
  <c r="R68" i="220"/>
  <c r="P73" i="220"/>
  <c r="Q73" i="220"/>
  <c r="S73" i="220" s="1"/>
  <c r="Q41" i="220"/>
  <c r="S41" i="220" s="1"/>
  <c r="P41" i="220"/>
  <c r="I21" i="555"/>
  <c r="P72" i="220"/>
  <c r="Q72" i="220"/>
  <c r="S72" i="220" s="1"/>
  <c r="P40" i="220"/>
  <c r="Q40" i="220"/>
  <c r="S40" i="220" s="1"/>
  <c r="P38" i="220"/>
  <c r="Q38" i="220"/>
  <c r="S38" i="220" s="1"/>
  <c r="P39" i="220"/>
  <c r="R39" i="220"/>
  <c r="Q46" i="220"/>
  <c r="S46" i="220" s="1"/>
  <c r="P46" i="220"/>
  <c r="P47" i="220"/>
  <c r="Q47" i="220"/>
  <c r="S47" i="220" s="1"/>
  <c r="P37" i="220"/>
  <c r="Q37" i="220"/>
  <c r="S37" i="220" s="1"/>
  <c r="P49" i="220"/>
  <c r="Q49" i="220"/>
  <c r="S49" i="220" s="1"/>
  <c r="P48" i="220"/>
  <c r="R48" i="220"/>
  <c r="R43" i="220" s="1"/>
  <c r="I19" i="555" s="1"/>
  <c r="Q45" i="220"/>
  <c r="S45" i="220" s="1"/>
  <c r="P45" i="220"/>
  <c r="P119" i="220"/>
  <c r="R119" i="220"/>
  <c r="S119" i="220" s="1"/>
  <c r="P118" i="220"/>
  <c r="Q118" i="220"/>
  <c r="S118" i="220" s="1"/>
  <c r="Q127" i="220"/>
  <c r="S127" i="220" s="1"/>
  <c r="P127" i="220"/>
  <c r="Q36" i="220"/>
  <c r="S36" i="220" s="1"/>
  <c r="P36" i="220"/>
  <c r="Q199" i="220"/>
  <c r="S199" i="220" s="1"/>
  <c r="P199" i="220"/>
  <c r="Q186" i="220"/>
  <c r="S186" i="220" s="1"/>
  <c r="P186" i="220"/>
  <c r="Q173" i="220"/>
  <c r="S173" i="220" s="1"/>
  <c r="P173" i="220"/>
  <c r="P126" i="220"/>
  <c r="Q126" i="220"/>
  <c r="S126" i="220" s="1"/>
  <c r="P32" i="220"/>
  <c r="Q32" i="220"/>
  <c r="S32" i="220" s="1"/>
  <c r="P33" i="220"/>
  <c r="Q33" i="220"/>
  <c r="S33" i="220" s="1"/>
  <c r="P35" i="220"/>
  <c r="Q35" i="220"/>
  <c r="S35" i="220" s="1"/>
  <c r="P34" i="220"/>
  <c r="Q34" i="220"/>
  <c r="Q31" i="220"/>
  <c r="S31" i="220" s="1"/>
  <c r="P31" i="220"/>
  <c r="R20" i="220"/>
  <c r="I17" i="555" s="1"/>
  <c r="Q26" i="220"/>
  <c r="S26" i="220" s="1"/>
  <c r="P26" i="220"/>
  <c r="P124" i="220"/>
  <c r="R124" i="220"/>
  <c r="S124" i="220" s="1"/>
  <c r="P125" i="220"/>
  <c r="Q125" i="220"/>
  <c r="S125" i="220" s="1"/>
  <c r="R75" i="220"/>
  <c r="I22" i="555" s="1"/>
  <c r="P84" i="220"/>
  <c r="Q84" i="220"/>
  <c r="S84" i="220" s="1"/>
  <c r="P85" i="220"/>
  <c r="Q85" i="220"/>
  <c r="S85" i="220" s="1"/>
  <c r="P178" i="220"/>
  <c r="Q178" i="220"/>
  <c r="S178" i="220" s="1"/>
  <c r="Q191" i="220"/>
  <c r="S191" i="220" s="1"/>
  <c r="P191" i="220"/>
  <c r="R179" i="220"/>
  <c r="P204" i="220"/>
  <c r="R204" i="220"/>
  <c r="R192" i="220" s="1"/>
  <c r="Q123" i="220"/>
  <c r="S123" i="220" s="1"/>
  <c r="P123" i="220"/>
  <c r="Q155" i="220"/>
  <c r="S155" i="220" s="1"/>
  <c r="P155" i="220"/>
  <c r="P156" i="220"/>
  <c r="Q156" i="220"/>
  <c r="S156" i="220" s="1"/>
  <c r="Q190" i="220"/>
  <c r="S190" i="220" s="1"/>
  <c r="P190" i="220"/>
  <c r="P208" i="220"/>
  <c r="Q177" i="220"/>
  <c r="S177" i="220" s="1"/>
  <c r="P177" i="220"/>
  <c r="P192" i="220"/>
  <c r="Q163" i="220"/>
  <c r="S163" i="220" s="1"/>
  <c r="P163" i="220"/>
  <c r="P162" i="220"/>
  <c r="Q162" i="220"/>
  <c r="S162" i="220" s="1"/>
  <c r="P157" i="220"/>
  <c r="P205" i="220"/>
  <c r="P198" i="220"/>
  <c r="Q198" i="220"/>
  <c r="S198" i="220" s="1"/>
  <c r="P182" i="220"/>
  <c r="Q182" i="220"/>
  <c r="S182" i="220" s="1"/>
  <c r="P194" i="220"/>
  <c r="Q194" i="220"/>
  <c r="S194" i="220" s="1"/>
  <c r="Q209" i="220"/>
  <c r="P209" i="220"/>
  <c r="P193" i="220"/>
  <c r="Q193" i="220"/>
  <c r="P153" i="220"/>
  <c r="P189" i="220"/>
  <c r="Q189" i="220"/>
  <c r="S189" i="220" s="1"/>
  <c r="P184" i="220"/>
  <c r="Q184" i="220"/>
  <c r="S184" i="220" s="1"/>
  <c r="P207" i="220"/>
  <c r="Q207" i="220"/>
  <c r="S207" i="220" s="1"/>
  <c r="Q197" i="220"/>
  <c r="S197" i="220" s="1"/>
  <c r="P197" i="220"/>
  <c r="Q183" i="220"/>
  <c r="S183" i="220" s="1"/>
  <c r="P183" i="220"/>
  <c r="P206" i="220"/>
  <c r="Q206" i="220"/>
  <c r="P200" i="220"/>
  <c r="Q200" i="220"/>
  <c r="S200" i="220" s="1"/>
  <c r="P180" i="220"/>
  <c r="Q180" i="220"/>
  <c r="Q196" i="220"/>
  <c r="S196" i="220" s="1"/>
  <c r="P196" i="220"/>
  <c r="Q202" i="220"/>
  <c r="S202" i="220" s="1"/>
  <c r="P202" i="220"/>
  <c r="Q195" i="220"/>
  <c r="S195" i="220" s="1"/>
  <c r="P195" i="220"/>
  <c r="P188" i="220"/>
  <c r="Q188" i="220"/>
  <c r="S188" i="220" s="1"/>
  <c r="P179" i="220"/>
  <c r="P181" i="220"/>
  <c r="Q181" i="220"/>
  <c r="S181" i="220" s="1"/>
  <c r="P160" i="220"/>
  <c r="Q187" i="220"/>
  <c r="S187" i="220" s="1"/>
  <c r="P187" i="220"/>
  <c r="P201" i="220"/>
  <c r="Q201" i="220"/>
  <c r="S201" i="220" s="1"/>
  <c r="P185" i="220"/>
  <c r="Q185" i="220"/>
  <c r="S185" i="220" s="1"/>
  <c r="P166" i="220"/>
  <c r="R130" i="220"/>
  <c r="R138" i="220"/>
  <c r="Q176" i="220"/>
  <c r="S176" i="220" s="1"/>
  <c r="P176" i="220"/>
  <c r="P171" i="220"/>
  <c r="Q171" i="220"/>
  <c r="S171" i="220" s="1"/>
  <c r="P154" i="220"/>
  <c r="R154" i="220"/>
  <c r="R153" i="220" s="1"/>
  <c r="P167" i="220"/>
  <c r="Q167" i="220"/>
  <c r="R133" i="220"/>
  <c r="P161" i="220"/>
  <c r="R161" i="220"/>
  <c r="R160" i="220" s="1"/>
  <c r="P158" i="220"/>
  <c r="R158" i="220"/>
  <c r="P165" i="220"/>
  <c r="Q165" i="220"/>
  <c r="S165" i="220" s="1"/>
  <c r="P168" i="220"/>
  <c r="Q168" i="220"/>
  <c r="S168" i="220" s="1"/>
  <c r="P169" i="220"/>
  <c r="Q169" i="220"/>
  <c r="S169" i="220" s="1"/>
  <c r="P175" i="220"/>
  <c r="Q175" i="220"/>
  <c r="S175" i="220" s="1"/>
  <c r="P174" i="220"/>
  <c r="Q174" i="220"/>
  <c r="S174" i="220" s="1"/>
  <c r="P159" i="220"/>
  <c r="Q159" i="220"/>
  <c r="S159" i="220" s="1"/>
  <c r="P170" i="220"/>
  <c r="R170" i="220"/>
  <c r="S170" i="220" s="1"/>
  <c r="P164" i="220"/>
  <c r="Q164" i="220"/>
  <c r="S164" i="220" s="1"/>
  <c r="Q172" i="220"/>
  <c r="S172" i="220" s="1"/>
  <c r="P172" i="220"/>
  <c r="P143" i="220"/>
  <c r="R143" i="220"/>
  <c r="P138" i="220"/>
  <c r="P116" i="220"/>
  <c r="Q116" i="220"/>
  <c r="S116" i="220" s="1"/>
  <c r="P112" i="220"/>
  <c r="Q112" i="220"/>
  <c r="S112" i="220" s="1"/>
  <c r="P113" i="220"/>
  <c r="R113" i="220"/>
  <c r="S113" i="220" s="1"/>
  <c r="P115" i="220"/>
  <c r="R115" i="220"/>
  <c r="S115" i="220" s="1"/>
  <c r="P114" i="220"/>
  <c r="Q114" i="220"/>
  <c r="S114" i="220" s="1"/>
  <c r="P117" i="220"/>
  <c r="Q117" i="220"/>
  <c r="S117" i="220" s="1"/>
  <c r="P111" i="220"/>
  <c r="Q111" i="220"/>
  <c r="S111" i="220" s="1"/>
  <c r="P106" i="220"/>
  <c r="R106" i="220"/>
  <c r="S106" i="220" s="1"/>
  <c r="P108" i="220"/>
  <c r="Q108" i="220"/>
  <c r="S108" i="220" s="1"/>
  <c r="Q107" i="220"/>
  <c r="S107" i="220" s="1"/>
  <c r="P107" i="220"/>
  <c r="P105" i="220"/>
  <c r="Q105" i="220"/>
  <c r="S105" i="220" s="1"/>
  <c r="R87" i="220"/>
  <c r="I23" i="555" s="1"/>
  <c r="P83" i="220"/>
  <c r="Q83" i="220"/>
  <c r="S83" i="220" s="1"/>
  <c r="P81" i="220"/>
  <c r="Q81" i="220"/>
  <c r="S81" i="220" s="1"/>
  <c r="Q82" i="220"/>
  <c r="S82" i="220" s="1"/>
  <c r="P82" i="220"/>
  <c r="R60" i="220"/>
  <c r="R52" i="220"/>
  <c r="R15" i="220"/>
  <c r="Q150" i="220"/>
  <c r="S150" i="220" s="1"/>
  <c r="P150" i="220"/>
  <c r="Q151" i="220"/>
  <c r="S151" i="220" s="1"/>
  <c r="P151" i="220"/>
  <c r="Q149" i="220"/>
  <c r="S149" i="220" s="1"/>
  <c r="P149" i="220"/>
  <c r="P152" i="220"/>
  <c r="Q152" i="220"/>
  <c r="S152" i="220" s="1"/>
  <c r="P132" i="220"/>
  <c r="Q132" i="220"/>
  <c r="S132" i="220" s="1"/>
  <c r="P133" i="220"/>
  <c r="Q131" i="220"/>
  <c r="P131" i="220"/>
  <c r="Q136" i="220"/>
  <c r="S136" i="220" s="1"/>
  <c r="P136" i="220"/>
  <c r="P135" i="220"/>
  <c r="Q135" i="220"/>
  <c r="S135" i="220" s="1"/>
  <c r="Q137" i="220"/>
  <c r="S137" i="220" s="1"/>
  <c r="P137" i="220"/>
  <c r="Q134" i="220"/>
  <c r="P134" i="220"/>
  <c r="P145" i="220"/>
  <c r="Q145" i="220"/>
  <c r="S145" i="220" s="1"/>
  <c r="Q141" i="220"/>
  <c r="S141" i="220" s="1"/>
  <c r="P141" i="220"/>
  <c r="Q142" i="220"/>
  <c r="S142" i="220" s="1"/>
  <c r="P142" i="220"/>
  <c r="Q139" i="220"/>
  <c r="P139" i="220"/>
  <c r="Q144" i="220"/>
  <c r="S144" i="220" s="1"/>
  <c r="P144" i="220"/>
  <c r="P140" i="220"/>
  <c r="Q140" i="220"/>
  <c r="S140" i="220" s="1"/>
  <c r="P146" i="220"/>
  <c r="Q146" i="220"/>
  <c r="S146" i="220" s="1"/>
  <c r="Q147" i="220"/>
  <c r="S147" i="220" s="1"/>
  <c r="P147" i="220"/>
  <c r="Q148" i="220"/>
  <c r="S148" i="220" s="1"/>
  <c r="P148" i="220"/>
  <c r="P122" i="220"/>
  <c r="Q122" i="220"/>
  <c r="P99" i="220"/>
  <c r="Q99" i="220"/>
  <c r="S99" i="220" s="1"/>
  <c r="P97" i="220"/>
  <c r="Q97" i="220"/>
  <c r="S97" i="220" s="1"/>
  <c r="Q101" i="220"/>
  <c r="S101" i="220" s="1"/>
  <c r="P101" i="220"/>
  <c r="Q100" i="220"/>
  <c r="S100" i="220" s="1"/>
  <c r="P100" i="220"/>
  <c r="Q102" i="220"/>
  <c r="S102" i="220" s="1"/>
  <c r="P102" i="220"/>
  <c r="Q98" i="220"/>
  <c r="S98" i="220" s="1"/>
  <c r="P98" i="220"/>
  <c r="P96" i="220"/>
  <c r="Q96" i="220"/>
  <c r="S96" i="220" s="1"/>
  <c r="P103" i="220"/>
  <c r="Q103" i="220"/>
  <c r="S103" i="220" s="1"/>
  <c r="P87" i="220"/>
  <c r="P75" i="220"/>
  <c r="Q63" i="220"/>
  <c r="S63" i="220" s="1"/>
  <c r="P63" i="220"/>
  <c r="Q64" i="220"/>
  <c r="S64" i="220" s="1"/>
  <c r="P64" i="220"/>
  <c r="Q65" i="220"/>
  <c r="S65" i="220" s="1"/>
  <c r="P65" i="220"/>
  <c r="Q66" i="220"/>
  <c r="S66" i="220" s="1"/>
  <c r="P66" i="220"/>
  <c r="P59" i="220"/>
  <c r="Q59" i="220"/>
  <c r="S59" i="220" s="1"/>
  <c r="Q58" i="220"/>
  <c r="S58" i="220" s="1"/>
  <c r="P58" i="220"/>
  <c r="P93" i="220"/>
  <c r="Q93" i="220"/>
  <c r="S93" i="220" s="1"/>
  <c r="Q95" i="220"/>
  <c r="S95" i="220" s="1"/>
  <c r="P95" i="220"/>
  <c r="Q92" i="220"/>
  <c r="S92" i="220" s="1"/>
  <c r="P92" i="220"/>
  <c r="Q94" i="220"/>
  <c r="S94" i="220" s="1"/>
  <c r="P94" i="220"/>
  <c r="P90" i="220"/>
  <c r="Q90" i="220"/>
  <c r="S90" i="220" s="1"/>
  <c r="Q89" i="220"/>
  <c r="S89" i="220" s="1"/>
  <c r="P89" i="220"/>
  <c r="P71" i="220"/>
  <c r="Q71" i="220"/>
  <c r="S71" i="220" s="1"/>
  <c r="Q78" i="220"/>
  <c r="S78" i="220" s="1"/>
  <c r="P78" i="220"/>
  <c r="Q76" i="220"/>
  <c r="S76" i="220" s="1"/>
  <c r="P76" i="220"/>
  <c r="P79" i="220"/>
  <c r="Q79" i="220"/>
  <c r="S79" i="220" s="1"/>
  <c r="Q77" i="220"/>
  <c r="S77" i="220" s="1"/>
  <c r="P77" i="220"/>
  <c r="Q70" i="220"/>
  <c r="S70" i="220" s="1"/>
  <c r="P70" i="220"/>
  <c r="P88" i="220"/>
  <c r="Q88" i="220"/>
  <c r="Q80" i="220"/>
  <c r="S80" i="220" s="1"/>
  <c r="P80" i="220"/>
  <c r="Q62" i="220"/>
  <c r="S62" i="220" s="1"/>
  <c r="P62" i="220"/>
  <c r="Q55" i="220"/>
  <c r="S55" i="220" s="1"/>
  <c r="P55" i="220"/>
  <c r="Q56" i="220"/>
  <c r="S56" i="220" s="1"/>
  <c r="P56" i="220"/>
  <c r="Q54" i="220"/>
  <c r="S54" i="220" s="1"/>
  <c r="P54" i="220"/>
  <c r="P24" i="220"/>
  <c r="Q24" i="220"/>
  <c r="S24" i="220" s="1"/>
  <c r="Q18" i="220"/>
  <c r="S18" i="220" s="1"/>
  <c r="P18" i="220"/>
  <c r="P129" i="220"/>
  <c r="Q110" i="220"/>
  <c r="P110" i="220"/>
  <c r="P121" i="220"/>
  <c r="Q25" i="220"/>
  <c r="S25" i="220" s="1"/>
  <c r="P25" i="220"/>
  <c r="Q16" i="220"/>
  <c r="P16" i="220"/>
  <c r="Q21" i="220"/>
  <c r="P21" i="220"/>
  <c r="Q44" i="220"/>
  <c r="P44" i="220"/>
  <c r="Q29" i="220"/>
  <c r="P29" i="220"/>
  <c r="Q61" i="220"/>
  <c r="P61" i="220"/>
  <c r="P104" i="220"/>
  <c r="Q57" i="220"/>
  <c r="S57" i="220" s="1"/>
  <c r="P57" i="220"/>
  <c r="P68" i="220"/>
  <c r="Q23" i="220"/>
  <c r="S23" i="220" s="1"/>
  <c r="P23" i="220"/>
  <c r="Q30" i="220"/>
  <c r="S30" i="220" s="1"/>
  <c r="P30" i="220"/>
  <c r="P60" i="220"/>
  <c r="Q69" i="220"/>
  <c r="P69" i="220"/>
  <c r="Q22" i="220"/>
  <c r="S22" i="220" s="1"/>
  <c r="P22" i="220"/>
  <c r="Q53" i="220"/>
  <c r="P53" i="220"/>
  <c r="Q91" i="220"/>
  <c r="S91" i="220" s="1"/>
  <c r="P91" i="220"/>
  <c r="Q17" i="220"/>
  <c r="S17" i="220" s="1"/>
  <c r="P17" i="220"/>
  <c r="G32" i="555"/>
  <c r="Q68" i="220" l="1"/>
  <c r="S48" i="220"/>
  <c r="Q28" i="220"/>
  <c r="R28" i="220"/>
  <c r="I18" i="555" s="1"/>
  <c r="H21" i="555"/>
  <c r="S39" i="220"/>
  <c r="H18" i="555"/>
  <c r="Q43" i="220"/>
  <c r="H19" i="555" s="1"/>
  <c r="Q109" i="220"/>
  <c r="H25" i="555" s="1"/>
  <c r="R109" i="220"/>
  <c r="I25" i="555" s="1"/>
  <c r="Q121" i="220"/>
  <c r="H26" i="555" s="1"/>
  <c r="R121" i="220"/>
  <c r="I26" i="555" s="1"/>
  <c r="S34" i="220"/>
  <c r="Q20" i="220"/>
  <c r="H17" i="555" s="1"/>
  <c r="Q75" i="220"/>
  <c r="H22" i="555" s="1"/>
  <c r="Q166" i="220"/>
  <c r="R166" i="220"/>
  <c r="S204" i="220"/>
  <c r="Q179" i="220"/>
  <c r="Q192" i="220"/>
  <c r="Q153" i="220"/>
  <c r="I16" i="555"/>
  <c r="Q205" i="220"/>
  <c r="S206" i="220"/>
  <c r="S205" i="220" s="1"/>
  <c r="S193" i="220"/>
  <c r="S180" i="220"/>
  <c r="S179" i="220" s="1"/>
  <c r="Q208" i="220"/>
  <c r="H28" i="555" s="1"/>
  <c r="S209" i="220"/>
  <c r="S208" i="220" s="1"/>
  <c r="J28" i="555" s="1"/>
  <c r="D52" i="561" s="1"/>
  <c r="Q157" i="220"/>
  <c r="R157" i="220"/>
  <c r="Q160" i="220"/>
  <c r="S167" i="220"/>
  <c r="S166" i="220" s="1"/>
  <c r="S161" i="220"/>
  <c r="S160" i="220" s="1"/>
  <c r="S154" i="220"/>
  <c r="S153" i="220" s="1"/>
  <c r="S158" i="220"/>
  <c r="S157" i="220" s="1"/>
  <c r="S131" i="220"/>
  <c r="S130" i="220" s="1"/>
  <c r="Q130" i="220"/>
  <c r="Q143" i="220"/>
  <c r="S134" i="220"/>
  <c r="S133" i="220" s="1"/>
  <c r="Q133" i="220"/>
  <c r="S143" i="220"/>
  <c r="S139" i="220"/>
  <c r="S138" i="220" s="1"/>
  <c r="Q138" i="220"/>
  <c r="S122" i="220"/>
  <c r="S121" i="220" s="1"/>
  <c r="S104" i="220"/>
  <c r="J24" i="555" s="1"/>
  <c r="D40" i="561" s="1"/>
  <c r="Q104" i="220"/>
  <c r="H24" i="555" s="1"/>
  <c r="R104" i="220"/>
  <c r="I24" i="555" s="1"/>
  <c r="S88" i="220"/>
  <c r="S87" i="220" s="1"/>
  <c r="J23" i="555" s="1"/>
  <c r="D37" i="561" s="1"/>
  <c r="Q87" i="220"/>
  <c r="H23" i="555" s="1"/>
  <c r="R51" i="220"/>
  <c r="I20" i="555" s="1"/>
  <c r="S69" i="220"/>
  <c r="S68" i="220" s="1"/>
  <c r="S61" i="220"/>
  <c r="S60" i="220" s="1"/>
  <c r="Q60" i="220"/>
  <c r="S53" i="220"/>
  <c r="S52" i="220" s="1"/>
  <c r="Q52" i="220"/>
  <c r="Q15" i="220"/>
  <c r="S29" i="220"/>
  <c r="S21" i="220"/>
  <c r="S44" i="220"/>
  <c r="S43" i="220" s="1"/>
  <c r="S16" i="220"/>
  <c r="S15" i="220" s="1"/>
  <c r="S110" i="220"/>
  <c r="S28" i="220" l="1"/>
  <c r="J21" i="555"/>
  <c r="D31" i="561" s="1"/>
  <c r="S109" i="220"/>
  <c r="J25" i="555" s="1"/>
  <c r="D43" i="561" s="1"/>
  <c r="J18" i="555"/>
  <c r="D22" i="561" s="1"/>
  <c r="R129" i="220"/>
  <c r="I27" i="555" s="1"/>
  <c r="I32" i="555" s="1"/>
  <c r="Q129" i="220"/>
  <c r="H27" i="555" s="1"/>
  <c r="S20" i="220"/>
  <c r="J17" i="555" s="1"/>
  <c r="D19" i="561" s="1"/>
  <c r="S75" i="220"/>
  <c r="J22" i="555" s="1"/>
  <c r="D34" i="561" s="1"/>
  <c r="AG34" i="561" s="1"/>
  <c r="S192" i="220"/>
  <c r="J26" i="555"/>
  <c r="D46" i="561" s="1"/>
  <c r="AG40" i="561"/>
  <c r="U40" i="561"/>
  <c r="E40" i="561"/>
  <c r="Y40" i="561"/>
  <c r="Q40" i="561"/>
  <c r="M40" i="561"/>
  <c r="AC40" i="561"/>
  <c r="I40" i="561"/>
  <c r="H16" i="555"/>
  <c r="Y37" i="561"/>
  <c r="I37" i="561"/>
  <c r="AG37" i="561"/>
  <c r="Q37" i="561"/>
  <c r="AC37" i="561"/>
  <c r="M37" i="561"/>
  <c r="U37" i="561"/>
  <c r="E37" i="561"/>
  <c r="Y52" i="561"/>
  <c r="I52" i="561"/>
  <c r="AG52" i="561"/>
  <c r="Q52" i="561"/>
  <c r="AC52" i="561"/>
  <c r="U52" i="561"/>
  <c r="E52" i="561"/>
  <c r="M52" i="561"/>
  <c r="J16" i="555"/>
  <c r="Q51" i="220"/>
  <c r="H20" i="555" s="1"/>
  <c r="S51" i="220"/>
  <c r="J20" i="555" s="1"/>
  <c r="D28" i="561" s="1"/>
  <c r="J19" i="555"/>
  <c r="D25" i="561" s="1"/>
  <c r="D16" i="561" l="1"/>
  <c r="AC43" i="561"/>
  <c r="Q43" i="561"/>
  <c r="AG43" i="561"/>
  <c r="Y43" i="561"/>
  <c r="I43" i="561"/>
  <c r="U43" i="561"/>
  <c r="E43" i="561"/>
  <c r="M43" i="561"/>
  <c r="S129" i="220"/>
  <c r="J27" i="555" s="1"/>
  <c r="D49" i="561" s="1"/>
  <c r="I34" i="561"/>
  <c r="Y34" i="561"/>
  <c r="E34" i="561"/>
  <c r="U34" i="561"/>
  <c r="AC34" i="561"/>
  <c r="Q34" i="561"/>
  <c r="M34" i="561"/>
  <c r="U46" i="561"/>
  <c r="M46" i="561"/>
  <c r="Q46" i="561"/>
  <c r="AG46" i="561"/>
  <c r="I46" i="561"/>
  <c r="Y46" i="561"/>
  <c r="AC46" i="561"/>
  <c r="E46" i="561"/>
  <c r="H32" i="555"/>
  <c r="R213" i="220"/>
  <c r="R216" i="682" s="1"/>
  <c r="R217" i="682" s="1"/>
  <c r="AG16" i="561"/>
  <c r="Q213" i="220"/>
  <c r="Q216" i="682" s="1"/>
  <c r="Q217" i="682" s="1"/>
  <c r="U31" i="561"/>
  <c r="Q31" i="561"/>
  <c r="U28" i="561"/>
  <c r="Q28" i="561"/>
  <c r="M31" i="561"/>
  <c r="I31" i="561"/>
  <c r="E31" i="561"/>
  <c r="I28" i="561"/>
  <c r="E28" i="561"/>
  <c r="M28" i="561"/>
  <c r="Q25" i="561"/>
  <c r="M25" i="561"/>
  <c r="I25" i="561"/>
  <c r="E25" i="561"/>
  <c r="I22" i="561"/>
  <c r="E22" i="561"/>
  <c r="Q22" i="561"/>
  <c r="M22" i="561"/>
  <c r="S213" i="220" l="1"/>
  <c r="J32" i="555"/>
  <c r="I49" i="561"/>
  <c r="D55" i="561"/>
  <c r="AC49" i="561"/>
  <c r="E49" i="561"/>
  <c r="Q49" i="561"/>
  <c r="AG49" i="561"/>
  <c r="Y49" i="561"/>
  <c r="U49" i="561"/>
  <c r="M49" i="561"/>
  <c r="Y22" i="561"/>
  <c r="U22" i="561"/>
  <c r="AG22" i="561"/>
  <c r="AC22" i="561"/>
  <c r="AC25" i="561"/>
  <c r="Y25" i="561"/>
  <c r="U25" i="561"/>
  <c r="AG25" i="561"/>
  <c r="AC19" i="561"/>
  <c r="Y19" i="561"/>
  <c r="AG19" i="561"/>
  <c r="T41" i="220" l="1"/>
  <c r="T203" i="220"/>
  <c r="T72" i="220"/>
  <c r="T73" i="220"/>
  <c r="T37" i="220"/>
  <c r="T39" i="220"/>
  <c r="T40" i="220"/>
  <c r="T38" i="220"/>
  <c r="T45" i="220"/>
  <c r="T48" i="220"/>
  <c r="T47" i="220"/>
  <c r="T49" i="220"/>
  <c r="T46" i="220"/>
  <c r="T36" i="220"/>
  <c r="T119" i="220"/>
  <c r="T118" i="220"/>
  <c r="T92" i="220"/>
  <c r="T17" i="220"/>
  <c r="T146" i="220"/>
  <c r="T78" i="220"/>
  <c r="T144" i="220"/>
  <c r="T55" i="220"/>
  <c r="T135" i="220"/>
  <c r="T52" i="220"/>
  <c r="T28" i="220"/>
  <c r="T81" i="220"/>
  <c r="T129" i="220"/>
  <c r="T25" i="220"/>
  <c r="T90" i="220"/>
  <c r="T137" i="220"/>
  <c r="T60" i="220"/>
  <c r="T105" i="220"/>
  <c r="T91" i="220"/>
  <c r="T63" i="220"/>
  <c r="T159" i="220"/>
  <c r="T59" i="220"/>
  <c r="T102" i="220"/>
  <c r="T143" i="220"/>
  <c r="T19" i="220"/>
  <c r="T30" i="220"/>
  <c r="T104" i="220"/>
  <c r="T56" i="220"/>
  <c r="T80" i="220"/>
  <c r="T58" i="220"/>
  <c r="T101" i="220"/>
  <c r="T141" i="220"/>
  <c r="T150" i="220"/>
  <c r="T112" i="220"/>
  <c r="T161" i="220"/>
  <c r="T166" i="220"/>
  <c r="T189" i="220"/>
  <c r="T156" i="220"/>
  <c r="T182" i="220"/>
  <c r="T21" i="220"/>
  <c r="T57" i="220"/>
  <c r="T71" i="220"/>
  <c r="T79" i="220"/>
  <c r="T64" i="220"/>
  <c r="T99" i="220"/>
  <c r="T145" i="220"/>
  <c r="T151" i="220"/>
  <c r="T116" i="220"/>
  <c r="T169" i="220"/>
  <c r="T160" i="220"/>
  <c r="T193" i="220"/>
  <c r="T155" i="220"/>
  <c r="T163" i="220"/>
  <c r="T20" i="220"/>
  <c r="T53" i="220"/>
  <c r="T77" i="220"/>
  <c r="T62" i="220"/>
  <c r="T98" i="220"/>
  <c r="T140" i="220"/>
  <c r="T149" i="220"/>
  <c r="T117" i="220"/>
  <c r="T158" i="220"/>
  <c r="T180" i="220"/>
  <c r="T200" i="220"/>
  <c r="T191" i="220"/>
  <c r="T16" i="220"/>
  <c r="T43" i="220"/>
  <c r="T121" i="220"/>
  <c r="T65" i="220"/>
  <c r="T44" i="220"/>
  <c r="T51" i="220"/>
  <c r="T61" i="220"/>
  <c r="T109" i="220"/>
  <c r="T89" i="220"/>
  <c r="T93" i="220"/>
  <c r="T66" i="220"/>
  <c r="T148" i="220"/>
  <c r="T136" i="220"/>
  <c r="T152" i="220"/>
  <c r="T114" i="220"/>
  <c r="T167" i="220"/>
  <c r="T206" i="220"/>
  <c r="T188" i="220"/>
  <c r="T178" i="220"/>
  <c r="T164" i="220"/>
  <c r="T18" i="220"/>
  <c r="T76" i="220"/>
  <c r="T94" i="220"/>
  <c r="T103" i="220"/>
  <c r="T147" i="220"/>
  <c r="T134" i="220"/>
  <c r="T106" i="220"/>
  <c r="T138" i="220"/>
  <c r="T171" i="220"/>
  <c r="T198" i="220"/>
  <c r="T208" i="220"/>
  <c r="T125" i="220"/>
  <c r="T111" i="220"/>
  <c r="T181" i="220"/>
  <c r="T192" i="220"/>
  <c r="T124" i="220"/>
  <c r="T22" i="220"/>
  <c r="T29" i="220"/>
  <c r="T68" i="220"/>
  <c r="T23" i="220"/>
  <c r="T27" i="220"/>
  <c r="T69" i="220"/>
  <c r="T24" i="220"/>
  <c r="T88" i="220"/>
  <c r="T95" i="220"/>
  <c r="T96" i="220"/>
  <c r="T122" i="220"/>
  <c r="T132" i="220"/>
  <c r="T108" i="220"/>
  <c r="T130" i="220"/>
  <c r="T174" i="220"/>
  <c r="T207" i="220"/>
  <c r="T162" i="220"/>
  <c r="T32" i="220"/>
  <c r="T175" i="220"/>
  <c r="T197" i="220"/>
  <c r="T196" i="220"/>
  <c r="T123" i="220"/>
  <c r="T31" i="220"/>
  <c r="T202" i="220"/>
  <c r="T205" i="220"/>
  <c r="T204" i="220"/>
  <c r="T173" i="220"/>
  <c r="T107" i="220"/>
  <c r="T165" i="220"/>
  <c r="T176" i="220"/>
  <c r="T179" i="220"/>
  <c r="T183" i="220"/>
  <c r="T209" i="220"/>
  <c r="T15" i="220"/>
  <c r="S216" i="682"/>
  <c r="S217" i="682" s="1"/>
  <c r="T26" i="220"/>
  <c r="T126" i="220"/>
  <c r="T199" i="220"/>
  <c r="T87" i="220"/>
  <c r="T100" i="220"/>
  <c r="T139" i="220"/>
  <c r="T131" i="220"/>
  <c r="T83" i="220"/>
  <c r="T115" i="220"/>
  <c r="T170" i="220"/>
  <c r="T168" i="220"/>
  <c r="T157" i="220"/>
  <c r="T195" i="220"/>
  <c r="T201" i="220"/>
  <c r="T187" i="220"/>
  <c r="T177" i="220"/>
  <c r="T84" i="220"/>
  <c r="T34" i="220"/>
  <c r="T186" i="220"/>
  <c r="T110" i="220"/>
  <c r="T54" i="220"/>
  <c r="T70" i="220"/>
  <c r="T75" i="220"/>
  <c r="T97" i="220"/>
  <c r="T142" i="220"/>
  <c r="T133" i="220"/>
  <c r="T82" i="220"/>
  <c r="T113" i="220"/>
  <c r="T154" i="220"/>
  <c r="T172" i="220"/>
  <c r="T153" i="220"/>
  <c r="T185" i="220"/>
  <c r="T194" i="220"/>
  <c r="T184" i="220"/>
  <c r="T190" i="220"/>
  <c r="T85" i="220"/>
  <c r="T33" i="220"/>
  <c r="T127" i="220"/>
  <c r="T35" i="220"/>
  <c r="K22" i="555"/>
  <c r="K26" i="555"/>
  <c r="K23" i="555"/>
  <c r="K27" i="555"/>
  <c r="K24" i="555"/>
  <c r="K28" i="555"/>
  <c r="K25" i="555"/>
  <c r="K29" i="555"/>
  <c r="Q21" i="561"/>
  <c r="Q19" i="561" s="1"/>
  <c r="M21" i="561"/>
  <c r="M19" i="561" s="1"/>
  <c r="U19" i="561"/>
  <c r="E21" i="561"/>
  <c r="I21" i="561"/>
  <c r="I19" i="561" s="1"/>
  <c r="K21" i="555"/>
  <c r="K18" i="555"/>
  <c r="K17" i="555"/>
  <c r="K20" i="555"/>
  <c r="K16" i="555"/>
  <c r="K19" i="555"/>
  <c r="K32" i="555" l="1"/>
  <c r="S219" i="682"/>
  <c r="E19" i="561"/>
  <c r="D21" i="561"/>
  <c r="Y16" i="561"/>
  <c r="I16" i="561"/>
  <c r="I55" i="561" s="1"/>
  <c r="E16" i="561"/>
  <c r="AC16" i="561"/>
  <c r="Q16" i="561"/>
  <c r="Q55" i="561" s="1"/>
  <c r="U16" i="561"/>
  <c r="M16" i="561"/>
  <c r="M55" i="561" s="1"/>
  <c r="E55" i="561" l="1"/>
  <c r="E56" i="561" s="1"/>
  <c r="U55" i="561"/>
  <c r="U56" i="561" s="1"/>
  <c r="M56" i="561"/>
  <c r="Q56" i="561"/>
  <c r="I56" i="561"/>
  <c r="E58" i="561" l="1"/>
  <c r="I58" i="561" s="1"/>
  <c r="M58" i="561" s="1"/>
  <c r="Q58" i="561" s="1"/>
  <c r="U58" i="561" s="1"/>
  <c r="D56" i="561"/>
  <c r="E57" i="561"/>
  <c r="I57" i="561" s="1"/>
  <c r="M57" i="561" s="1"/>
  <c r="Q57" i="561" s="1"/>
  <c r="U57" i="561" s="1"/>
  <c r="J15" i="548" l="1"/>
  <c r="J16" i="548" l="1"/>
  <c r="J17" i="548" s="1"/>
  <c r="J18" i="548" s="1"/>
  <c r="J19" i="548" s="1"/>
  <c r="J20" i="548" s="1"/>
  <c r="J21" i="548" s="1"/>
  <c r="J22" i="548" s="1"/>
  <c r="J23" i="548" s="1"/>
  <c r="J24" i="548" s="1"/>
  <c r="J25" i="548" s="1"/>
  <c r="J26" i="548" s="1"/>
  <c r="J27" i="548" s="1"/>
  <c r="J28" i="548" s="1"/>
  <c r="J29" i="548" s="1"/>
  <c r="J30" i="548" s="1"/>
  <c r="J31" i="548" s="1"/>
  <c r="J32" i="548" s="1"/>
  <c r="J33" i="548" s="1"/>
  <c r="J34" i="548" s="1"/>
  <c r="J35" i="548" s="1"/>
  <c r="J36" i="548" s="1"/>
  <c r="J37" i="548" s="1"/>
  <c r="J38" i="548" s="1"/>
  <c r="J39" i="548" s="1"/>
  <c r="J40" i="548" s="1"/>
  <c r="J41" i="548" s="1"/>
  <c r="J42" i="548" s="1"/>
  <c r="J43" i="548" s="1"/>
  <c r="J44" i="548" s="1"/>
  <c r="J45" i="548" s="1"/>
  <c r="J46" i="548" s="1"/>
  <c r="J47" i="548" s="1"/>
  <c r="J48" i="548" s="1"/>
  <c r="J49" i="548" s="1"/>
  <c r="J50" i="548" s="1"/>
  <c r="J51" i="548" s="1"/>
  <c r="J52" i="548" s="1"/>
  <c r="J53" i="548" s="1"/>
  <c r="J54" i="548" s="1"/>
  <c r="J55" i="548" s="1"/>
  <c r="J56" i="548" s="1"/>
  <c r="J57" i="548" s="1"/>
  <c r="J58" i="548" s="1"/>
  <c r="J59" i="548" s="1"/>
  <c r="J60" i="548" s="1"/>
  <c r="J61" i="548" s="1"/>
  <c r="J62" i="548" s="1"/>
  <c r="J63" i="548" s="1"/>
  <c r="J64" i="548" s="1"/>
  <c r="J65" i="548" s="1"/>
  <c r="J66" i="548" s="1"/>
  <c r="J67" i="548" s="1"/>
  <c r="J68" i="548" s="1"/>
  <c r="J69" i="548" s="1"/>
  <c r="J70" i="548" s="1"/>
  <c r="J71" i="548" s="1"/>
  <c r="J72" i="548" s="1"/>
  <c r="J73" i="548" s="1"/>
  <c r="J74" i="548" s="1"/>
  <c r="J75" i="548" s="1"/>
  <c r="J76" i="548" s="1"/>
  <c r="J77" i="548" s="1"/>
  <c r="J78" i="548" s="1"/>
  <c r="J79" i="548" s="1"/>
  <c r="J80" i="548" s="1"/>
  <c r="J81" i="548" s="1"/>
  <c r="J82" i="548" s="1"/>
  <c r="J83" i="548" s="1"/>
  <c r="J84" i="548" s="1"/>
  <c r="J85" i="548" s="1"/>
  <c r="J86" i="548" s="1"/>
  <c r="J87" i="548" s="1"/>
  <c r="J88" i="548" s="1"/>
  <c r="J89" i="548" s="1"/>
  <c r="J90" i="548" s="1"/>
  <c r="J91" i="548" s="1"/>
  <c r="J92" i="548" s="1"/>
  <c r="J93" i="548" s="1"/>
  <c r="J94" i="548" s="1"/>
  <c r="J95" i="548" s="1"/>
  <c r="J96" i="548" s="1"/>
  <c r="J97" i="548" s="1"/>
  <c r="J98" i="548" s="1"/>
  <c r="J99" i="548" s="1"/>
  <c r="J100" i="548" s="1"/>
  <c r="J101" i="548" s="1"/>
  <c r="J102" i="548" s="1"/>
  <c r="J103" i="548" s="1"/>
  <c r="J104" i="548" s="1"/>
  <c r="J105" i="548" s="1"/>
  <c r="J106" i="548" s="1"/>
  <c r="J107" i="548" s="1"/>
  <c r="J108" i="548" s="1"/>
  <c r="J109" i="548" s="1"/>
  <c r="J110" i="548" s="1"/>
  <c r="J111" i="548" s="1"/>
  <c r="J112" i="548" s="1"/>
  <c r="J113" i="548" s="1"/>
  <c r="J114" i="548" s="1"/>
  <c r="J115" i="548" s="1"/>
  <c r="J116" i="548" s="1"/>
  <c r="J117" i="548" s="1"/>
  <c r="J118" i="548" s="1"/>
  <c r="J119" i="548" s="1"/>
  <c r="J120" i="548" s="1"/>
  <c r="J121" i="548" s="1"/>
  <c r="J122" i="548" s="1"/>
  <c r="J123" i="548" s="1"/>
  <c r="J124" i="548" s="1"/>
  <c r="J125" i="548" s="1"/>
  <c r="J126" i="548" s="1"/>
  <c r="J127" i="548" s="1"/>
  <c r="J128" i="548" s="1"/>
  <c r="J129" i="548" s="1"/>
  <c r="J130" i="548" s="1"/>
  <c r="J131" i="548" s="1"/>
  <c r="J132" i="548" s="1"/>
  <c r="J133" i="548" s="1"/>
  <c r="J134" i="548" s="1"/>
  <c r="J135" i="548" s="1"/>
  <c r="J136" i="548" s="1"/>
  <c r="J137" i="548" s="1"/>
  <c r="J138" i="548" s="1"/>
  <c r="J139" i="548" s="1"/>
  <c r="J140" i="548" s="1"/>
  <c r="J141" i="548" s="1"/>
  <c r="J142" i="548" s="1"/>
  <c r="J143" i="548" s="1"/>
  <c r="J144" i="548" s="1"/>
  <c r="J145" i="548" s="1"/>
  <c r="J146" i="548" s="1"/>
  <c r="J147" i="548" s="1"/>
  <c r="J148" i="548" s="1"/>
  <c r="J149" i="548" s="1"/>
  <c r="J150" i="548" s="1"/>
  <c r="J151" i="548" s="1"/>
  <c r="J152" i="548" s="1"/>
  <c r="J153" i="548" s="1"/>
  <c r="J154" i="548" s="1"/>
  <c r="J155" i="548" s="1"/>
  <c r="J156" i="548" s="1"/>
  <c r="J157" i="548" s="1"/>
  <c r="J158" i="548" s="1"/>
  <c r="J159" i="548" s="1"/>
  <c r="J160" i="548" s="1"/>
  <c r="J161" i="548" s="1"/>
  <c r="J162" i="548" s="1"/>
  <c r="J163" i="548" s="1"/>
  <c r="J164" i="548" s="1"/>
  <c r="J165" i="548" s="1"/>
  <c r="J166" i="548" s="1"/>
  <c r="J167" i="548" s="1"/>
  <c r="J168" i="548" s="1"/>
  <c r="J169" i="548" s="1"/>
  <c r="J170" i="548" s="1"/>
  <c r="J171" i="548" s="1"/>
</calcChain>
</file>

<file path=xl/comments1.xml><?xml version="1.0" encoding="utf-8"?>
<comments xmlns="http://schemas.openxmlformats.org/spreadsheetml/2006/main">
  <authors>
    <author>MARCELO</author>
  </authors>
  <commentList>
    <comment ref="E190" authorId="0" shapeId="0">
      <text>
        <r>
          <rPr>
            <b/>
            <sz val="9"/>
            <color indexed="81"/>
            <rFont val="Segoe UI"/>
            <family val="2"/>
          </rPr>
          <t>MARCELO:</t>
        </r>
        <r>
          <rPr>
            <sz val="9"/>
            <color indexed="81"/>
            <rFont val="Segoe UI"/>
            <family val="2"/>
          </rPr>
          <t xml:space="preserve">
este item foi acrescentdo?</t>
        </r>
      </text>
    </comment>
  </commentList>
</comments>
</file>

<file path=xl/sharedStrings.xml><?xml version="1.0" encoding="utf-8"?>
<sst xmlns="http://schemas.openxmlformats.org/spreadsheetml/2006/main" count="8808" uniqueCount="1681">
  <si>
    <t>Código</t>
  </si>
  <si>
    <t>Tipo</t>
  </si>
  <si>
    <t>m²</t>
  </si>
  <si>
    <t>Und</t>
  </si>
  <si>
    <t>Total</t>
  </si>
  <si>
    <t>Item</t>
  </si>
  <si>
    <t>Serviço</t>
  </si>
  <si>
    <t>Composição</t>
  </si>
  <si>
    <t>m³</t>
  </si>
  <si>
    <t>Revisão</t>
  </si>
  <si>
    <t>TOTAL</t>
  </si>
  <si>
    <t>DISCRIMINAÇÃO</t>
  </si>
  <si>
    <t>QUANT.</t>
  </si>
  <si>
    <t>PREÇO TOTAL</t>
  </si>
  <si>
    <t>VALOR TOTAL</t>
  </si>
  <si>
    <t>MATERIAL</t>
  </si>
  <si>
    <t>MÃO DE OBRA</t>
  </si>
  <si>
    <t>1.1</t>
  </si>
  <si>
    <t>2.1</t>
  </si>
  <si>
    <t>2.2</t>
  </si>
  <si>
    <t>VALOR UNITÁRIO</t>
  </si>
  <si>
    <t>ITEM</t>
  </si>
  <si>
    <t>UN</t>
  </si>
  <si>
    <t>PERC.
(%)</t>
  </si>
  <si>
    <t>UND.</t>
  </si>
  <si>
    <t>% SIMPLES</t>
  </si>
  <si>
    <t>% ACUMULADO</t>
  </si>
  <si>
    <t>Prazo</t>
  </si>
  <si>
    <t>SERVIÇOS</t>
  </si>
  <si>
    <t>M2</t>
  </si>
  <si>
    <t>Base</t>
  </si>
  <si>
    <t>SINAPI</t>
  </si>
  <si>
    <t>H</t>
  </si>
  <si>
    <t>M3</t>
  </si>
  <si>
    <t>KG</t>
  </si>
  <si>
    <t>M</t>
  </si>
  <si>
    <t xml:space="preserve">UN </t>
  </si>
  <si>
    <t>3.1</t>
  </si>
  <si>
    <t>Município da Obra</t>
  </si>
  <si>
    <t>Tipo de Obra</t>
  </si>
  <si>
    <t>Valor percentual adotado</t>
  </si>
  <si>
    <t>BDI Adotado</t>
  </si>
  <si>
    <t>Declaração Informativa</t>
  </si>
  <si>
    <t>VALOR TOTAL DO ORÇAMENTO</t>
  </si>
  <si>
    <t>BASE</t>
  </si>
  <si>
    <t>CÓDIGO</t>
  </si>
  <si>
    <t>COMP-0004</t>
  </si>
  <si>
    <t>SERVENTE DE OBRAS</t>
  </si>
  <si>
    <t>SERVENTE COM ENCARGOS COMPLEMENTARES</t>
  </si>
  <si>
    <t>PEDREIRO COM ENCARGOS COMPLEMENTARES</t>
  </si>
  <si>
    <t>CLIENTE:</t>
  </si>
  <si>
    <t>DATA:</t>
  </si>
  <si>
    <t>REVISÃO:</t>
  </si>
  <si>
    <t>LOCAL:</t>
  </si>
  <si>
    <t>SERVIÇOS:</t>
  </si>
  <si>
    <t>PAVIMENTO:</t>
  </si>
  <si>
    <t>DADOS DO EMPREENDIMENTO</t>
  </si>
  <si>
    <t>CLIENTE</t>
  </si>
  <si>
    <t>ENDEREÇO</t>
  </si>
  <si>
    <t>Bairro</t>
  </si>
  <si>
    <t>Cidade</t>
  </si>
  <si>
    <t>UF</t>
  </si>
  <si>
    <t>Área Total de Construção</t>
  </si>
  <si>
    <t>ENCARGOS SOCIAIS HORISTAS</t>
  </si>
  <si>
    <t>Data do Orçamento</t>
  </si>
  <si>
    <t>ENCARGOS SOCIAIS MENSALISTAS</t>
  </si>
  <si>
    <t>INDICADOS</t>
  </si>
  <si>
    <t>RESUMO GERAL DE LEVANTAMENTOS</t>
  </si>
  <si>
    <t>LEVANTAMENTOS</t>
  </si>
  <si>
    <t>OBJETO:</t>
  </si>
  <si>
    <t>BASE:</t>
  </si>
  <si>
    <t>ENCARGOS SOCIAIS HORISTAS:</t>
  </si>
  <si>
    <t>ENCARGOS SOCIAIS MENSALISTAS:</t>
  </si>
  <si>
    <r>
      <t xml:space="preserve">(AC) - </t>
    </r>
    <r>
      <rPr>
        <sz val="10"/>
        <rFont val="Arial Narrow"/>
        <family val="2"/>
      </rPr>
      <t>Administração Central</t>
    </r>
  </si>
  <si>
    <r>
      <t xml:space="preserve">(S) + (G) - </t>
    </r>
    <r>
      <rPr>
        <sz val="10"/>
        <rFont val="Arial Narrow"/>
        <family val="2"/>
      </rPr>
      <t>Seguro e Garantia</t>
    </r>
  </si>
  <si>
    <r>
      <t xml:space="preserve">(R) - </t>
    </r>
    <r>
      <rPr>
        <sz val="10"/>
        <rFont val="Arial Narrow"/>
        <family val="2"/>
      </rPr>
      <t>Risco</t>
    </r>
  </si>
  <si>
    <r>
      <t xml:space="preserve">(DF) - </t>
    </r>
    <r>
      <rPr>
        <sz val="10"/>
        <rFont val="Arial Narrow"/>
        <family val="2"/>
      </rPr>
      <t>Despesas Financeiras</t>
    </r>
  </si>
  <si>
    <r>
      <t xml:space="preserve">(L) - </t>
    </r>
    <r>
      <rPr>
        <sz val="10"/>
        <rFont val="Arial Narrow"/>
        <family val="2"/>
      </rPr>
      <t>Lucro</t>
    </r>
  </si>
  <si>
    <r>
      <t xml:space="preserve">(I1) - </t>
    </r>
    <r>
      <rPr>
        <sz val="10"/>
        <rFont val="Arial Narrow"/>
        <family val="2"/>
      </rPr>
      <t>PIS</t>
    </r>
  </si>
  <si>
    <r>
      <t xml:space="preserve">(I2) - </t>
    </r>
    <r>
      <rPr>
        <sz val="10"/>
        <rFont val="Arial Narrow"/>
        <family val="2"/>
      </rPr>
      <t>COFINS</t>
    </r>
  </si>
  <si>
    <r>
      <t xml:space="preserve">(I3) - </t>
    </r>
    <r>
      <rPr>
        <sz val="10"/>
        <rFont val="Arial Narrow"/>
        <family val="2"/>
      </rPr>
      <t>ISS</t>
    </r>
  </si>
  <si>
    <t>Construção de Edifícios e Reformas (Quadras, unidades habitacionais, escolas, restaurantes, etc)</t>
  </si>
  <si>
    <t>Base de cálculo ISS do município</t>
  </si>
  <si>
    <t>Descrição</t>
  </si>
  <si>
    <r>
      <t xml:space="preserve">(I4) - </t>
    </r>
    <r>
      <rPr>
        <sz val="10"/>
        <rFont val="Arial Narrow"/>
        <family val="2"/>
      </rPr>
      <t>Contribuição Previdenciária (CPRB)</t>
    </r>
  </si>
  <si>
    <t>Fonte da composição, valores de referência e fórmula do BDI: Acórdão 2622/2013-TCU-Plenário</t>
  </si>
  <si>
    <t>O valores do BDI acima foram calculados com emprego da equação a seguir:</t>
  </si>
  <si>
    <t>ISS:</t>
  </si>
  <si>
    <t>Onde:</t>
  </si>
  <si>
    <t>AC - taxa de rateio da Administração Central</t>
  </si>
  <si>
    <t>DF - taxa das despesas financeiras</t>
  </si>
  <si>
    <t>R, S, G - taxa de risco, seguro e garantia do empreendimento</t>
  </si>
  <si>
    <t>I - taxa de tributos (onerado: I = COFINS+PIS+ISS / desonerado: I = COFINS+PIS+ISS+CPRB)</t>
  </si>
  <si>
    <t>L - taxa de lucro</t>
  </si>
  <si>
    <t>OBJETO</t>
  </si>
  <si>
    <t>SERVIÇO</t>
  </si>
  <si>
    <t>VALORES</t>
  </si>
  <si>
    <t>MESES</t>
  </si>
  <si>
    <t>MÊS 01</t>
  </si>
  <si>
    <t>MÊS 02</t>
  </si>
  <si>
    <t>MÊS 03</t>
  </si>
  <si>
    <t>MÊS 06</t>
  </si>
  <si>
    <t>TOTAL SIMPLES COM BDI</t>
  </si>
  <si>
    <t>PERCENTUAL SIMPLES</t>
  </si>
  <si>
    <t>TOTAL ACUMULADO COM BDI</t>
  </si>
  <si>
    <t>PERCENTUAL ACUMULADO</t>
  </si>
  <si>
    <t>2.3</t>
  </si>
  <si>
    <t>DEMOLIÇÕES</t>
  </si>
  <si>
    <t>CANTEIRO</t>
  </si>
  <si>
    <t>MONTAGEM E DESMONTAGEM DE ANDAIME MULTIDIRECIONAL (EXCLUSIVE ANDAIME E LIMPEZA). AF_11/2017</t>
  </si>
  <si>
    <t>MÊS</t>
  </si>
  <si>
    <t>74209/001</t>
  </si>
  <si>
    <t>ADMINISTRAÇÃO</t>
  </si>
  <si>
    <t>ENCARREGADO GERAL DE OBRAS COM ENCARGOS COMPLEMENTARES</t>
  </si>
  <si>
    <t>1.2</t>
  </si>
  <si>
    <t>2.4</t>
  </si>
  <si>
    <t>2.5</t>
  </si>
  <si>
    <t xml:space="preserve"> 1.1 </t>
  </si>
  <si>
    <t xml:space="preserve"> 1.2 </t>
  </si>
  <si>
    <t xml:space="preserve"> 93572 </t>
  </si>
  <si>
    <t>MES</t>
  </si>
  <si>
    <t xml:space="preserve"> 2.1 </t>
  </si>
  <si>
    <t xml:space="preserve"> 2.2 </t>
  </si>
  <si>
    <t xml:space="preserve"> 2.3 </t>
  </si>
  <si>
    <t xml:space="preserve"> COMP-0004 </t>
  </si>
  <si>
    <t>Próprio</t>
  </si>
  <si>
    <t>LOCAÇÃO DE ANDAIME METÁLICO TUBULAR</t>
  </si>
  <si>
    <t>MXMES</t>
  </si>
  <si>
    <t xml:space="preserve"> 97065 </t>
  </si>
  <si>
    <t xml:space="preserve"> 3.1 </t>
  </si>
  <si>
    <t xml:space="preserve"> 3.2 </t>
  </si>
  <si>
    <t xml:space="preserve"> 4.1 </t>
  </si>
  <si>
    <t xml:space="preserve"> 5.1.1 </t>
  </si>
  <si>
    <t xml:space="preserve"> 5.2.1 </t>
  </si>
  <si>
    <t xml:space="preserve"> 6.1 </t>
  </si>
  <si>
    <t>MÊS 04</t>
  </si>
  <si>
    <t>MÊS 05</t>
  </si>
  <si>
    <t/>
  </si>
  <si>
    <t>VALOR SEM BDI</t>
  </si>
  <si>
    <t>VALOR COM BDI</t>
  </si>
  <si>
    <t>BDI OBRA:</t>
  </si>
  <si>
    <t>BDI DIFERENCIADO:</t>
  </si>
  <si>
    <t>VALORES UNITÁRIOS SEM BDI</t>
  </si>
  <si>
    <t>VALORES TOTAIS SEM BDI</t>
  </si>
  <si>
    <t>TOTAL DO ORÇAMENTO SEM BDI</t>
  </si>
  <si>
    <t>TOTAL DO ORÇAMENTO COM BDI</t>
  </si>
  <si>
    <t>DATA DO ORÇAMENTO:</t>
  </si>
  <si>
    <t>PRAZO DA OBRA: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</si>
  <si>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</si>
  <si>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</si>
  <si>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</si>
  <si>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</si>
  <si>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</si>
  <si>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</si>
  <si>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</si>
  <si>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</si>
  <si>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</si>
  <si>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</si>
  <si>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</si>
  <si>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</si>
  <si>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</si>
  <si>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</si>
  <si>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</si>
  <si>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</si>
  <si>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</si>
  <si>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</si>
  <si>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</si>
  <si>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</si>
  <si>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</si>
  <si>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</si>
  <si>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</si>
  <si>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</si>
  <si>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 xml:space="preserve"> 00010527 </t>
  </si>
  <si>
    <t xml:space="preserve"> 00040818 </t>
  </si>
  <si>
    <t>ENCARREGADO GERAL DE OBRAS (MENSALISTA)</t>
  </si>
  <si>
    <t xml:space="preserve"> 00006111 </t>
  </si>
  <si>
    <t xml:space="preserve"> 00004750 </t>
  </si>
  <si>
    <t>ORSE</t>
  </si>
  <si>
    <t xml:space="preserve"> 00043499 </t>
  </si>
  <si>
    <t xml:space="preserve"> 00002696 </t>
  </si>
  <si>
    <t xml:space="preserve"> 00040863 </t>
  </si>
  <si>
    <t>EXAMES - MENSALISTA (COLETADO CAIXA)</t>
  </si>
  <si>
    <t xml:space="preserve"> 00043475 </t>
  </si>
  <si>
    <t xml:space="preserve"> 00040864 </t>
  </si>
  <si>
    <t>SEGURO - MENSALISTA (COLETADO CAIXA)</t>
  </si>
  <si>
    <t>Banco</t>
  </si>
  <si>
    <t>Quant.</t>
  </si>
  <si>
    <t>Valor Unit</t>
  </si>
  <si>
    <t>SEDI - SERVIÇOS DIVERSOS</t>
  </si>
  <si>
    <t>Composição Auxiliar</t>
  </si>
  <si>
    <t>Insumo</t>
  </si>
  <si>
    <t>Mão de Obra</t>
  </si>
  <si>
    <t>Equipamento</t>
  </si>
  <si>
    <t>MO sem LS =&gt;</t>
  </si>
  <si>
    <t>LS =&gt;</t>
  </si>
  <si>
    <t>Valor do BDI =&gt;</t>
  </si>
  <si>
    <t>Valor com BDI =&gt;</t>
  </si>
  <si>
    <t xml:space="preserve"> 95422 </t>
  </si>
  <si>
    <t>CURSO DE CAPACITAÇÃO PARA ENCARREGADO GERAL DE OBRAS (ENCARGOS COMPLEMENTARES) - MENSALISTA</t>
  </si>
  <si>
    <t>Material</t>
  </si>
  <si>
    <t>CANT - CANTEIRO DE OBRAS</t>
  </si>
  <si>
    <t>FUES - FUNDAÇÕES E ESTRUTURAS</t>
  </si>
  <si>
    <t xml:space="preserve"> 88316 </t>
  </si>
  <si>
    <t xml:space="preserve"> 100251 </t>
  </si>
  <si>
    <t>TRANSPORTE HORIZONTAL MANUAL, DE TUBO DE AÇO CARBONO LEVE OU MÉDIO, PRETO OU GALVANIZADO, COM DIÂMETRO MAIOR QUE 32 MM E MENOR OU IGUAL A 65 MM (UNIDADE: MXKM). AF_07/2019</t>
  </si>
  <si>
    <t>MXKM</t>
  </si>
  <si>
    <t xml:space="preserve"> 88278 </t>
  </si>
  <si>
    <t>MONTADOR DE ESTRUTURA METÁLICA COM ENCARGOS COMPLEMENTARES</t>
  </si>
  <si>
    <t xml:space="preserve"> 88309 </t>
  </si>
  <si>
    <t>INSTALAÇÕES ELÉTRICAS</t>
  </si>
  <si>
    <t>DISJUNTORES</t>
  </si>
  <si>
    <t>PRÓPRIO</t>
  </si>
  <si>
    <t xml:space="preserve"> 1 </t>
  </si>
  <si>
    <t xml:space="preserve"> 2 </t>
  </si>
  <si>
    <t>SBC</t>
  </si>
  <si>
    <t xml:space="preserve"> 00005075 </t>
  </si>
  <si>
    <t>PREGO DE ACO POLIDO COM CABECA 18 X 30 (2 3/4 X 10)</t>
  </si>
  <si>
    <t>INEL - INSTALAÇÃO ELÉTRICA/ELETRIFICAÇÃO E ILUMINAÇÃO EXTERNA</t>
  </si>
  <si>
    <t xml:space="preserve"> 88247 </t>
  </si>
  <si>
    <t>AUXILIAR DE ELETRICISTA COM ENCARGOS COMPLEMENTARES</t>
  </si>
  <si>
    <t xml:space="preserve"> 88264 </t>
  </si>
  <si>
    <t>ELETRICISTA COM ENCARGOS COMPLEMENTARES</t>
  </si>
  <si>
    <t xml:space="preserve"> 88243 </t>
  </si>
  <si>
    <t>AJUDANTE ESPECIALIZADO COM ENCARGOS COMPLEMENTARES</t>
  </si>
  <si>
    <t xml:space="preserve"> 00002436 </t>
  </si>
  <si>
    <t>ELETRICISTA</t>
  </si>
  <si>
    <t>FORROS</t>
  </si>
  <si>
    <t>un</t>
  </si>
  <si>
    <t>S25</t>
  </si>
  <si>
    <t>S26</t>
  </si>
  <si>
    <t>S27</t>
  </si>
  <si>
    <t>S28</t>
  </si>
  <si>
    <t>S29</t>
  </si>
  <si>
    <t>S30</t>
  </si>
  <si>
    <t>S31</t>
  </si>
  <si>
    <t>S32</t>
  </si>
  <si>
    <t>MÊS 07</t>
  </si>
  <si>
    <t>MÊS 08</t>
  </si>
  <si>
    <t>INHI - INSTALAÇÕES HIDROS SANITÁRIAS</t>
  </si>
  <si>
    <t xml:space="preserve"> 88248 </t>
  </si>
  <si>
    <t>AUXILIAR DE ENCANADOR OU BOMBEIRO HIDRÁULICO COM ENCARGOS COMPLEMENTARES</t>
  </si>
  <si>
    <t xml:space="preserve"> 88267 </t>
  </si>
  <si>
    <t>ENCANADOR OU BOMBEIRO HIDRÁULICO COM ENCARGOS COMPLEMENTARES</t>
  </si>
  <si>
    <t xml:space="preserve"> 88261 </t>
  </si>
  <si>
    <t>CARPINTEIRO DE ESQUADRIA COM ENCARGOS COMPLEMENTARES</t>
  </si>
  <si>
    <t>CJ</t>
  </si>
  <si>
    <t>3.9</t>
  </si>
  <si>
    <t>ELETRODUTOS E ELETROCALHAS</t>
  </si>
  <si>
    <t>PEÇAS E ACESSÓRIOS</t>
  </si>
  <si>
    <t>FIOS E CABOS</t>
  </si>
  <si>
    <t xml:space="preserve"> 2.4 </t>
  </si>
  <si>
    <t xml:space="preserve"> 2.5 </t>
  </si>
  <si>
    <t>INES - INSTALAÇÕES ESPECIAIS</t>
  </si>
  <si>
    <t>TOTAL GERAL COM BDI</t>
  </si>
  <si>
    <t xml:space="preserve"> 4 </t>
  </si>
  <si>
    <t xml:space="preserve"> 5 </t>
  </si>
  <si>
    <t xml:space="preserve"> 5.1 </t>
  </si>
  <si>
    <t xml:space="preserve"> 5.2 </t>
  </si>
  <si>
    <t xml:space="preserve"> 6.2 </t>
  </si>
  <si>
    <t>COMP-0002</t>
  </si>
  <si>
    <t>COMP-0002B</t>
  </si>
  <si>
    <t xml:space="preserve"> COMP-0002 </t>
  </si>
  <si>
    <t xml:space="preserve"> COMP-0002B </t>
  </si>
  <si>
    <t>FERRAMENTAS - FAMILIA ENCARREGADO GERAL - MENSALISTA (ENCARGOS COMPLEMENTARES - COLETADO CAIXA)</t>
  </si>
  <si>
    <t>EPI - FAMILIA ENCARREGADO GERAL - MENSALISTA (ENCARGOS COMPLEMENTARES - COLETADO CAIXA)</t>
  </si>
  <si>
    <t xml:space="preserve"> 00010776 </t>
  </si>
  <si>
    <t>LOCACAO DE ANDAIME METALICO TUBULAR DE ENCAIXE, TIPO DE TORRE, COM LARGURA DE 1 ATE 1,5 M E ALTURA DE *1,00* M (INCLUSO SAPATAS FIXAS OU RODIZIOS)</t>
  </si>
  <si>
    <t>CPOS</t>
  </si>
  <si>
    <t xml:space="preserve"> 1.3 </t>
  </si>
  <si>
    <t xml:space="preserve"> 00034709 </t>
  </si>
  <si>
    <t>DISJUNTOR TIPO DIN/IEC, TRIPOLAR DE 10 ATE 50A</t>
  </si>
  <si>
    <t xml:space="preserve"> 88266 </t>
  </si>
  <si>
    <t>ELETROTÉCNICO COM ENCARGOS COMPLEMENTARES</t>
  </si>
  <si>
    <t>4.1</t>
  </si>
  <si>
    <t>DESCRIÇÃO</t>
  </si>
  <si>
    <t>PERFILADO PERFURADO 38x38 MM</t>
  </si>
  <si>
    <t>063004</t>
  </si>
  <si>
    <t>B</t>
  </si>
  <si>
    <t xml:space="preserve">INTERRUPTOR SIMPLES (2 MÓDULOS), 10A/250V, INCLUINDO SUPORTE E PLACA - FORNECIMENTO E INSTALAÇÃO. AF_12/2015	</t>
  </si>
  <si>
    <t xml:space="preserve">INTERRUPTOR SIMPLES (1 MÓDULO), 10A/250V, INCLUINDO SUPORTE E PLACA - FORNECIMENTO E INSTALAÇÃO. AF_12/2015	</t>
  </si>
  <si>
    <t xml:space="preserve">TOMADA MÉDIA DE EMBUTIR (2 MÓDULOS), 2P+T 10 A, INCLUINDO SUPORTE E PLACA - FORNECIMENTO E INSTALAÇÃO. AF_12/2015	</t>
  </si>
  <si>
    <t xml:space="preserve">TOMADA MÉDIA DE EMBUTIR (1 MÓDULO), 2P+T 10 A, INCLUINDO SUPORTE E PLACA - FORNECIMENTO E INSTALAÇÃO. AF_12/2015	</t>
  </si>
  <si>
    <t xml:space="preserve">CAIXA RETANGULAR 4" X 2" MÉDIA (1,30 M DO PISO), PVC, INSTALADA EM PAREDE - FORNECIMENTO E INSTALAÇÃO. AF_12/2015	</t>
  </si>
  <si>
    <t xml:space="preserve">CAIXA OCTOGONAL 4" X 4", PVC, INSTALADA EM LAJE - FORNECIMENTO E INSTALAÇÃO. AF_12/2015	</t>
  </si>
  <si>
    <t xml:space="preserve">EMENDA INTERNA ""T"" PARA PERFILADO 38x38mm	</t>
  </si>
  <si>
    <t>060525</t>
  </si>
  <si>
    <t xml:space="preserve">SAIDA LATERAL SIMPLES PARA ELETRODUTO 3/4""	</t>
  </si>
  <si>
    <t>062572</t>
  </si>
  <si>
    <t>LUMINÁRIAS</t>
  </si>
  <si>
    <t xml:space="preserve"> </t>
  </si>
  <si>
    <t>COMP-2382</t>
  </si>
  <si>
    <t>COMP-0752</t>
  </si>
  <si>
    <t>INSTALAÇÕES DE CABEAMENTO ESTRUTURADO</t>
  </si>
  <si>
    <t>A</t>
  </si>
  <si>
    <t>1.3</t>
  </si>
  <si>
    <t>BONIFICAÇÃO DE DESPESAS INDIRETAS
BDI - OBRA ONERADO</t>
  </si>
  <si>
    <t>Limites das parcelas do BDI para obras do tipo acima selecionado.
Acórdão TCU 2622/2013</t>
  </si>
  <si>
    <t>Mín</t>
  </si>
  <si>
    <t>Med.</t>
  </si>
  <si>
    <t>Máx.</t>
  </si>
  <si>
    <t>Limites do valor do BDI para obras do tipo acima selecionado.
Acórdão TCU 2622/2013</t>
  </si>
  <si>
    <t>BONIFICAÇÃO DE DESPESAS INDIRETAS
BDI - DIFERENCIADO ONERADO</t>
  </si>
  <si>
    <t>BONIFICAÇÃO DE DESPESAS INDIRETAS
BDI - OBRA DESONERADO</t>
  </si>
  <si>
    <t>BONIFICAÇÃO DE DESPESAS INDIRETAS
BDI - DIFERENCIADO DESONERADO</t>
  </si>
  <si>
    <t>PERFILADO PERFURADO 38x38mm</t>
  </si>
  <si>
    <t xml:space="preserve"> 91959 </t>
  </si>
  <si>
    <t>INTERRUPTOR SIMPLES (2 MÓDULOS), 10A/250V, INCLUINDO SUPORTE E PLACA - FORNECIMENTO E INSTALAÇÃO. AF_12/2015</t>
  </si>
  <si>
    <t xml:space="preserve"> 060525 </t>
  </si>
  <si>
    <t>EMENDA INTERNA ""T"" PARA PERFILADO 38x38mm</t>
  </si>
  <si>
    <t>BDI ONERADO</t>
  </si>
  <si>
    <t>BDI DIFERENCIADO ONERADO</t>
  </si>
  <si>
    <t>VANTAJOSIDADE</t>
  </si>
  <si>
    <t>TOTAL DO ORÇAMENTO ONERADO COM BDI</t>
  </si>
  <si>
    <t>% DE DIFERENÇA</t>
  </si>
  <si>
    <t>ORÇAMENTO COM MELHOR VANTAJOSIDADE</t>
  </si>
  <si>
    <t xml:space="preserve"> 94962 </t>
  </si>
  <si>
    <t xml:space="preserve"> 88262 </t>
  </si>
  <si>
    <t>CARPINTEIRO DE FORMAS COM ENCARGOS COMPLEMENTARES</t>
  </si>
  <si>
    <t xml:space="preserve"> 00004491 </t>
  </si>
  <si>
    <t>PONTALETE *7,5 X 7,5* CM EM PINUS, MISTA OU EQUIVALENTE DA REGIAO - BRUTA</t>
  </si>
  <si>
    <t xml:space="preserve"> 00004813 </t>
  </si>
  <si>
    <t xml:space="preserve"> 00004417 </t>
  </si>
  <si>
    <t>SARRAFO NAO APARELHADO *2,5 X 7* CM, EM MACARANDUBA, ANGELIM OU EQUIVALENTE DA REGIAO -  BRUTA</t>
  </si>
  <si>
    <t xml:space="preserve"> 91946 </t>
  </si>
  <si>
    <t>SUPORTE PARAFUSADO COM PLACA DE ENCAIXE 4" X 2" MÉDIO (1,30 M DO PISO) PARA PONTO ELÉTRICO - FORNECIMENTO E INSTALAÇÃO. AF_12/2015</t>
  </si>
  <si>
    <t xml:space="preserve"> 91958 </t>
  </si>
  <si>
    <t>INTERRUPTOR SIMPLES (2 MÓDULOS), 10A/250V, SEM SUPORTE E SEM PLACA - FORNECIMENTO E INSTALAÇÃO. AF_12/2015</t>
  </si>
  <si>
    <t xml:space="preserve"> 00001872 </t>
  </si>
  <si>
    <t>CAIXA DE PASSAGEM, EM PVC, DE 4" X 2", PARA ELETRODUTO FLEXIVEL CORRUGADO</t>
  </si>
  <si>
    <t xml:space="preserve"> 040539 </t>
  </si>
  <si>
    <t>EMENDA PERFIL 38mm TIPO "T"</t>
  </si>
  <si>
    <t xml:space="preserve"> 00001570 </t>
  </si>
  <si>
    <t>TERMINAL A COMPRESSAO EM COBRE ESTANHADO PARA CABO 2,5 MM2, 1 FURO E 1 COMPRESSAO, PARA PARAFUSO DE FIXACAO M5</t>
  </si>
  <si>
    <t xml:space="preserve"> 00038104 </t>
  </si>
  <si>
    <t>TOMADA RJ45, 8 FIOS, CAT 5E (APENAS MODULO)</t>
  </si>
  <si>
    <t>CURVA ABC SERVIÇOS 
ONERADO</t>
  </si>
  <si>
    <t>ORÇAMENTO ANÁLITICO
ONERADO</t>
  </si>
  <si>
    <t>RESUMO
ONERADO</t>
  </si>
  <si>
    <t>ORÇAMENTO SINTÉTICO
ONERADO</t>
  </si>
  <si>
    <t>CRONOGRAMA FÍSICO-FINANCEIRO
ONERADO</t>
  </si>
  <si>
    <t>COMPOSIÇÕES DE ENCARGOS SOCIAIS</t>
  </si>
  <si>
    <t>BDI OBRA</t>
  </si>
  <si>
    <r>
      <rPr>
        <b/>
        <sz val="10"/>
        <rFont val="Arial Narrow"/>
        <family val="2"/>
      </rPr>
      <t>COM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DESONERAÇÃO</t>
    </r>
  </si>
  <si>
    <r>
      <rPr>
        <b/>
        <sz val="10"/>
        <rFont val="Arial Narrow"/>
        <family val="2"/>
      </rPr>
      <t>SEM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DESONERAÇÃO</t>
    </r>
  </si>
  <si>
    <r>
      <rPr>
        <b/>
        <sz val="10"/>
        <rFont val="Arial Narrow"/>
        <family val="2"/>
      </rPr>
      <t>HORISTA
%</t>
    </r>
  </si>
  <si>
    <r>
      <rPr>
        <b/>
        <sz val="10"/>
        <rFont val="Arial Narrow"/>
        <family val="2"/>
      </rPr>
      <t>MENSALISTA
%</t>
    </r>
  </si>
  <si>
    <r>
      <rPr>
        <b/>
        <sz val="10"/>
        <rFont val="Arial Narrow"/>
        <family val="2"/>
      </rPr>
      <t>GRUPO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A</t>
    </r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</si>
  <si>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</si>
  <si>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</si>
  <si>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</si>
  <si>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</si>
  <si>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</si>
  <si>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</si>
  <si>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</si>
  <si>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</si>
  <si>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</si>
  <si>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</si>
  <si>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</si>
  <si>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</si>
  <si>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</si>
  <si>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</si>
  <si>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</si>
  <si>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</si>
  <si>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</si>
  <si>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</si>
  <si>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r>
      <rPr>
        <b/>
        <sz val="10"/>
        <rFont val="Arial Narrow"/>
        <family val="2"/>
      </rPr>
      <t>GRUPO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B</t>
    </r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</si>
  <si>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</si>
  <si>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</si>
  <si>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</si>
  <si>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</si>
  <si>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</si>
  <si>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</si>
  <si>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</si>
  <si>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</si>
  <si>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</si>
  <si>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</si>
  <si>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</si>
  <si>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</si>
  <si>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</si>
  <si>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</si>
  <si>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</si>
  <si>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</si>
  <si>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</si>
  <si>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</si>
  <si>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</si>
  <si>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</si>
  <si>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</si>
  <si>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r>
      <rPr>
        <b/>
        <sz val="10"/>
        <rFont val="Arial Narrow"/>
        <family val="2"/>
      </rPr>
      <t>GRUPO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C</t>
    </r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</si>
  <si>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</si>
  <si>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</si>
  <si>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</si>
  <si>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</si>
  <si>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</si>
  <si>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</si>
  <si>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</si>
  <si>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</si>
  <si>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</si>
  <si>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</si>
  <si>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</si>
  <si>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r>
      <rPr>
        <b/>
        <sz val="10"/>
        <rFont val="Arial Narrow"/>
        <family val="2"/>
      </rPr>
      <t>GRUPO</t>
    </r>
    <r>
      <rPr>
        <sz val="10"/>
        <rFont val="Arial Narrow"/>
        <family val="2"/>
      </rPr>
      <t xml:space="preserve"> </t>
    </r>
    <r>
      <rPr>
        <b/>
        <sz val="10"/>
        <rFont val="Arial Narrow"/>
        <family val="2"/>
      </rPr>
      <t>D</t>
    </r>
  </si>
  <si>
    <t>D1</t>
  </si>
  <si>
    <t>Reincidência de Grupo A sobre Grupo B</t>
  </si>
  <si>
    <t>D2</t>
  </si>
  <si>
    <t>Reincidência de Grupo A sobre Aviso Prévio Trabalhado e Reincidência do FGTS sobre Aviso
Prévio Indenizado</t>
  </si>
  <si>
    <t>D</t>
  </si>
  <si>
    <t>TOTAL(A+B+C+D)</t>
  </si>
  <si>
    <t>FONTE: SINAPI - INFORMAÇÃO DIAS DE CHUVA – INMET</t>
  </si>
  <si>
    <t>BDI DIFER.</t>
  </si>
  <si>
    <t xml:space="preserve">ALUGUEL DE CACAMBA 48 HORAS COM RETIRADA	</t>
  </si>
  <si>
    <t xml:space="preserve"> 210500 </t>
  </si>
  <si>
    <t>ALUGUEL DE CACAMBA 48 HORAS COM RETIRADA</t>
  </si>
  <si>
    <t xml:space="preserve"> 6.3 </t>
  </si>
  <si>
    <t xml:space="preserve"> 012334 </t>
  </si>
  <si>
    <t>ALUGUEL DE CACAMBA 48 HORAS</t>
  </si>
  <si>
    <t>Sede</t>
  </si>
  <si>
    <t xml:space="preserve">CABO DE COBRE FLEXÍVEL ISOLADO, 2,5 MM², ANTI-CHAMA 450/750 V, PARA CIRCUITOS TERMINAIS - FORNECIMENTO E INSTALAÇÃO. AF_12/2015 </t>
  </si>
  <si>
    <t xml:space="preserve">CABO DE COBRE FLEXÍVEL ISOLADO, 4 MM², ANTI-CHAMA 450/750 V, PARA CIRCUITOS TERMINAIS - FORNECIMENTO E INSTALAÇÃO. AF_12/2015 </t>
  </si>
  <si>
    <t xml:space="preserve">CABO DE COBRE FLEXÍVEL ISOLADO, 6 MM², ANTI-CHAMA 0,6/1,0 KV, PARA CIRCUITOS TERMINAIS - FORNECIMENTO E INSTALAÇÃO. AF_12/2015 </t>
  </si>
  <si>
    <t xml:space="preserve">CABO DE COBRE FLEXÍVEL ISOLADO, 95 MM², ANTI-CHAMA 0,6/1,0 KV, PARA DISTRIBUIÇÃO - FORNECIMENTO E INSTALAÇÃO. AF_12/2015 </t>
  </si>
  <si>
    <t xml:space="preserve">CABO DE COBRE FLEXÍVEL ISOLADO, 4 MM², ANTI-CHAMA 0,6/1,0 KV, PARA CIRCUITOS TERMINAIS - FORNECIMENTO E INSTALAÇÃO. AF_12/2015 </t>
  </si>
  <si>
    <t xml:space="preserve">CABO DE COBRE FLEXÍVEL ISOLADO, 16 MM², ANTI-CHAMA 0,6/1,0 KV, PARA CIRCUITOS TERMINAIS - FORNECIMENTO E INSTALAÇÃO. AF_12/2015 </t>
  </si>
  <si>
    <t xml:space="preserve">CABO DE COBRE FLEXÍVEL ISOLADO, 150 MM², ANTI-CHAMA 0,6/1,0 KV, PARA DISTRIBUIÇÃO - FORNECIMENTO E INSTALAÇÃO. AF_12/2015 </t>
  </si>
  <si>
    <t xml:space="preserve">CABO DE COBRE FLEXÍVEL ISOLADO, 10 MM², ANTI-CHAMA 0,6/1,0 KV, PARA CIRCUITOS TERMINAIS - FORNECIMENTO E INSTALAÇÃO. AF_12/2015 </t>
  </si>
  <si>
    <t xml:space="preserve">DISJUNTOR TRIPOLAR TIPO DIN, CORRENTE NOMINAL DE 10A - FORNECIMENTO E INSTALAÇÃO. AF_10/2020 </t>
  </si>
  <si>
    <t xml:space="preserve">DISJUNTOR TRIPOLAR TIPO DIN, CORRENTE NOMINAL DE 16A - FORNECIMENTO E INSTALAÇÃO. AF_10/2020 </t>
  </si>
  <si>
    <t xml:space="preserve">DISJUNTOR TRIPOLAR TIPO DIN, CORRENTE NOMINAL DE 20A - FORNECIMENTO E INSTALAÇÃO. AF_10/2020 </t>
  </si>
  <si>
    <t xml:space="preserve">DISJUNTOR TRIPOLAR TIPO DIN, CORRENTE NOMINAL DE 25A - FORNECIMENTO E INSTALAÇÃO. AF_10/2020 </t>
  </si>
  <si>
    <t xml:space="preserve">DISJUNTOR TRIPOLAR TIPO DIN, CORRENTE NOMINAL DE 32A - FORNECIMENTO E INSTALAÇÃO. AF_10/2020 </t>
  </si>
  <si>
    <t xml:space="preserve">DISJUNTOR TRIPOLAR TIPO DIN, CORRENTE NOMINAL DE 40A - FORNECIMENTO E INSTALAÇÃO. AF_10/2020 </t>
  </si>
  <si>
    <t xml:space="preserve">DISJUNTOR TRIPOLAR TIPO DIN, CORRENTE NOMINAL DE 50A - FORNECIMENTO E INSTALAÇÃO. AF_10/2020 </t>
  </si>
  <si>
    <t>DISJUNTOR TRIPOLAR TIPO DIN, CORRENTE NOMINAL DE 63A - FORNECIMENTO E INSTALAÇÃO. (ADAPTADO DE SINAPI 93673)</t>
  </si>
  <si>
    <t>DISJUNTOR TRIPOLAR 70A</t>
  </si>
  <si>
    <t>DISJUNTOR TRIPOLAR 80A</t>
  </si>
  <si>
    <t>064329</t>
  </si>
  <si>
    <t>064410</t>
  </si>
  <si>
    <t>DISJUNTOR CAIXA MOLDADA TRIPOLAR 630A</t>
  </si>
  <si>
    <t>065455</t>
  </si>
  <si>
    <t xml:space="preserve">DISJUNTOR MONOPOLAR TIPO DIN, CORRENTE NOMINAL DE 16A - FORNECIMENTO E INSTALAÇÃO. AF_10/2020 </t>
  </si>
  <si>
    <t xml:space="preserve">DISJUNTOR MONOPOLAR TIPO DIN, CORRENTE NOMINAL DE 10A - FORNECIMENTO E INSTALAÇÃO. AF_10/2020 </t>
  </si>
  <si>
    <t xml:space="preserve">DISJUNTOR MONOPOLAR TIPO DIN, CORRENTE NOMINAL DE 20A - FORNECIMENTO E INSTALAÇÃO. AF_10/2020 </t>
  </si>
  <si>
    <t xml:space="preserve">DISJUNTOR MONOPOLAR TIPO DIN, CORRENTE NOMINAL DE 25A - FORNECIMENTO E INSTALAÇÃO. AF_10/2020 </t>
  </si>
  <si>
    <t xml:space="preserve">INTERRUPTOR DIFERENCIAL RESIDUAL DR-25A </t>
  </si>
  <si>
    <t>061610</t>
  </si>
  <si>
    <t>COMP-0486</t>
  </si>
  <si>
    <t>DISJUNTOR TRIPOLAR TIPO DIN, CORRENTE NOMINAL DE 160A - FORNECIMENTO E INSTALAÇÃO. (ADAPTADO DE SINAPI 101896)</t>
  </si>
  <si>
    <t>DISPOSITIVO PROTETOR DE SURTO, 45 KA, MONOFÁSICO. (ADAPTADO DE SBC 064563)</t>
  </si>
  <si>
    <t>COMP-2821</t>
  </si>
  <si>
    <t xml:space="preserve">DISPOSITIVO PROTETOR DE SURTO, 20 KA, MONOFÁSICO. (ADAPTADO DE SBC 064563)
</t>
  </si>
  <si>
    <t>COMP-2820</t>
  </si>
  <si>
    <t>COMP-2822</t>
  </si>
  <si>
    <t>DISPOSITIVO PROTETOR DE SURTO, 60 KA, MONOFÁSICO. (ADAPTADO DE SBC 064563)</t>
  </si>
  <si>
    <t>TOMADAS E INTERRUPTORES</t>
  </si>
  <si>
    <t>CURVA HORIZONTAL / VERTICAL PARA PERFILADO 38X38 MM. (ADAPTADO DE SBC 063451)</t>
  </si>
  <si>
    <t>COMP-2823</t>
  </si>
  <si>
    <t>COMP-2824</t>
  </si>
  <si>
    <t>TALA PLANA PARA PERFILADO 38X38 MM. (ADAPTADO DE ORSE 9531)</t>
  </si>
  <si>
    <t>TAMPA PARA PERFILADO 38X38 MM. (ADAPTADO DE ORSE 9527)</t>
  </si>
  <si>
    <t>COMP-2825</t>
  </si>
  <si>
    <t xml:space="preserve">CONDULETE DE PVC, TIPO X, PARA ELETRODUTO DE PVC SOLDÁVEL DN 25 MM (3/4''), APARENTE - FORNECIMENTO E INSTALAÇÃO. AF_11/2016 </t>
  </si>
  <si>
    <t xml:space="preserve">LUVA PARA ELETRODUTO, PVC, ROSCÁVEL, DN 110 MM (4") - FORNECIMENTO E INSTALAÇÃO. AF_12/2015 </t>
  </si>
  <si>
    <t>TOMADA PARA CANALETA TIPO DUTOTEC, 2P+T, 10A . (ADAPTADO DE SBC 059503)</t>
  </si>
  <si>
    <t>COMP-2712</t>
  </si>
  <si>
    <t>QUADRO DE DISTRIBUIÇÃO EM PVC PARA 64 DISJUNTORES. (ADAPTADO DE SBC 064534)</t>
  </si>
  <si>
    <t>COMP-2826</t>
  </si>
  <si>
    <t>ARRUELA DE PRESSÃO 1/4". (ADAPTADO DE ORSE 12538)</t>
  </si>
  <si>
    <t>COMP-2827</t>
  </si>
  <si>
    <t>ARRUELA LISA 1/4". (ADAPTADO DE ORSE 12506)</t>
  </si>
  <si>
    <t>COMP-2828</t>
  </si>
  <si>
    <t>ARRUELA LISA 5/16". (ADAPTADO DE ORSE 12540)</t>
  </si>
  <si>
    <t>COMP-2829</t>
  </si>
  <si>
    <t>FORNECIMENTO E INSTALAÇÃO DE BUCHA DE NYLON S10. (ADAPTADO DE ORSE 704)</t>
  </si>
  <si>
    <t>COMP-2830</t>
  </si>
  <si>
    <t>FORNECIMENTO E INSTALAÇÃO DE BUCHA DE NYLON S8. (ADAPTADO DE ORSE 704)</t>
  </si>
  <si>
    <t>COMP-2831</t>
  </si>
  <si>
    <t>COMP-2832</t>
  </si>
  <si>
    <t>COMP-2833</t>
  </si>
  <si>
    <t>FORNECIMENTO E INSTALAÇÃO DE BUCHA DE NYLON S6. (ADAPTADO DE ORSE 704)</t>
  </si>
  <si>
    <t>FORNECIMENTO E INSTALAÇÃO DE BUCHA DE NYLON S4. (ADAPTADO DE ORSE 704)</t>
  </si>
  <si>
    <t>VERGALHAO ACO GALV C/OM ROSCA TOTAL PARA PERFILADO 1/4""</t>
  </si>
  <si>
    <t>062690</t>
  </si>
  <si>
    <t>PARAFUSO AUTO-ATARRAXANTE 4,2X32 MM. (ADAPTADO DE ORSE 11039)</t>
  </si>
  <si>
    <t>COMP-2834</t>
  </si>
  <si>
    <t>COMP-2835</t>
  </si>
  <si>
    <t>COMP-2836</t>
  </si>
  <si>
    <t>PARAFUSO AUTO-ATARRAXANTE 6,3X50 MM. (ADAPTADO DE ORSE 11039)</t>
  </si>
  <si>
    <t>PARAFUSO AUTO-ATARRAXANTE 3,5X25 MM. (ADAPTADO DE ORSE 11039)</t>
  </si>
  <si>
    <t>PARAFUSO SEXTAVADO ROSCA SOBERBA 5/16" X 2". (ADAPTADO DE ORSE 11039)</t>
  </si>
  <si>
    <t>COMP-2837</t>
  </si>
  <si>
    <t>COMP-2838</t>
  </si>
  <si>
    <t>PARAFUSO LENTILHA ROSCA TOTAL 1/4" X 5/8". (ADAPTADO DE ORSE 11039)</t>
  </si>
  <si>
    <t>PORCA SEXTAVADA 1/4". (ADAPTADO DE ORSE 9832)</t>
  </si>
  <si>
    <t>COMP-2839</t>
  </si>
  <si>
    <t>PARAFUSO SEXTAVADO ROSCA SOBERBA 1/4" X 1.3/4". (ADAPTADO DE ORSE 11039)</t>
  </si>
  <si>
    <t>COMP-2840</t>
  </si>
  <si>
    <t xml:space="preserve">INTERRUPTOR SIMPLES (3 MÓDULOS), 10A/250V, INCLUINDO SUPORTE E PLACA - FORNECIMENTO E INSTALAÇÃO. AF_12/2015 </t>
  </si>
  <si>
    <t xml:space="preserve">INTERRUPTOR PARALELO (1 MÓDULO), 10A/250V, INCLUINDO SUPORTE E PLACA - FORNECIMENTO E INSTALAÇÃO. AF_12/2015 </t>
  </si>
  <si>
    <t xml:space="preserve">INTERRUPTOR PARALELO (3 MÓDULOS), 10A/250V, INCLUINDO SUPORTE E PLACA - FORNECIMENTO E INSTALAÇÃO. AF_12/2015 </t>
  </si>
  <si>
    <t xml:space="preserve">ELETROCALHA PERFURADA TIPO ""U"" 100x100 CHAPA 22 SEM TAMPA </t>
  </si>
  <si>
    <t>059414</t>
  </si>
  <si>
    <t xml:space="preserve">ELETROCALHA PERFURADA TIPO ""U"" 100X50 CHAPA 20 SEM TAMPA </t>
  </si>
  <si>
    <t>060107</t>
  </si>
  <si>
    <t xml:space="preserve">SUPORTE SUSPENSAO VERTICAL PARA ELETROCALHA 100 x 50 mm </t>
  </si>
  <si>
    <t>063067</t>
  </si>
  <si>
    <t>COMP-2841</t>
  </si>
  <si>
    <t>SUPORTE SUSPENSAO VERTICAL PARA ELETROCALHA 100 x 100 mm. (ADAPTADO DE SBC 063067)</t>
  </si>
  <si>
    <t>TALA PLANA PERFURADA 100 MM, PARA ELETROCALHA. (ADAPTADO DE ORSE 9519)</t>
  </si>
  <si>
    <t>COMP-2439</t>
  </si>
  <si>
    <t>COMP-0537</t>
  </si>
  <si>
    <t>TALA PLANA PERFURADA 50 MM, PARA ELETROCALHA. (ADAPTADO DE ORSE 9524)</t>
  </si>
  <si>
    <t>TAMPA DE ENCAIXE PARA ELETROCALHA 100mm (3 METROS). (ADAPTADO DE SBC 063150)</t>
  </si>
  <si>
    <t>COMP-2705</t>
  </si>
  <si>
    <t xml:space="preserve">ELETRODUTO DE AÇO GALVANIZADO, CLASSE LEVE, DN 25 MM (1), APARENTE, INSTALADO EM TETO - FORNECIMENTO E INSTALAÇÃO. AF_11/2016_P P </t>
  </si>
  <si>
    <t xml:space="preserve">ELETRODUTO DE AÇO GALVANIZADO, CLASSE LEVE, DN 20 MM (3/4), APARENTE, INSTALADO EM TETO - FORNECIMENTO E INSTALAÇÃO. AF_11/2016_P </t>
  </si>
  <si>
    <t xml:space="preserve">ELETRODUTO DE AÇO GALVANIZADO, CLASSE SEMI PESADO, DN 40 MM (1 1/2 ), APARENTE, INSTALADO EM TETO - FORNECIMENTO E INSTALAÇÃO. AF_11/2016_P </t>
  </si>
  <si>
    <t xml:space="preserve">ELETRODUTO FERRO GALVANIZADO 2"" </t>
  </si>
  <si>
    <t>068207</t>
  </si>
  <si>
    <t>ELETRODUTO FERRO GALVANIZADO 4". (ADAPTADO DE SBC 059030)</t>
  </si>
  <si>
    <t>COMP-2842</t>
  </si>
  <si>
    <t>ABRAÇADEIRA METÁLICA, TIPO "D", DIÂM.: 4". (ADAPTADO DE ORSE 8441)</t>
  </si>
  <si>
    <t>COMP-2843</t>
  </si>
  <si>
    <t xml:space="preserve">ELETRODUTO RÍGIDO ROSCÁVEL, PVC, DN 110 MM (4") - FORNECIMENTO E INSTALAÇÃO. AF_12/2015 </t>
  </si>
  <si>
    <t>GANCHO CURTO PARA PERFILADO. (ADAPTADO DE ORSE 9526)</t>
  </si>
  <si>
    <t>COMP-2844</t>
  </si>
  <si>
    <t>CANALETA DE ALUMÍNIO DUTOTEC, 25 MM. (ADAPTADO DE SBC 059124)</t>
  </si>
  <si>
    <t>COMP-2845</t>
  </si>
  <si>
    <t>LUMINÁRIA DE EMBUTIR PARA LÂMPADA DE LED 2X18W, COMP.: 120 CM. (ADAPTADO DE SINAPI 97587)</t>
  </si>
  <si>
    <t>LÂMPADA LED BULBO, 12 W, BASE E27. (ADAPTADO DE SBC 060140)</t>
  </si>
  <si>
    <t>COMP-2846</t>
  </si>
  <si>
    <t xml:space="preserve">CAIXA ENTERRADA ELÉTRICA RETANGULAR, EM ALVENARIA COM TIJOLOS CERÂMICOS MACIÇOS, FUNDO COM BRITA, DIMENSÕES INTERNAS: 0,3X0,3X0,3 M. AF_12/2020 </t>
  </si>
  <si>
    <t xml:space="preserve">TE HORIZONTAL PARA ELETROCALHA PERFURADA 100x50cm </t>
  </si>
  <si>
    <t>062576</t>
  </si>
  <si>
    <t xml:space="preserve">TERMINAL PARA ELETROCALHA 100X50cm </t>
  </si>
  <si>
    <t>062562</t>
  </si>
  <si>
    <t xml:space="preserve">ALÇA PREFORMADA DE DISTRIBUIÇÃO, EM AÇO GALVANIZADO, AWG 1 - FORNECIMENTO E INSTALAÇÃO. AF_07/2020 </t>
  </si>
  <si>
    <t xml:space="preserve">ISOLADOR, TIPO DISCO, PARA TENSÃO 15 KV - FORNECIMENTO E INSTALAÇÃO. AF_07/2020 </t>
  </si>
  <si>
    <t xml:space="preserve">CRUZETA DE CONCRETO PADRAO 1900mm </t>
  </si>
  <si>
    <t>078631</t>
  </si>
  <si>
    <t xml:space="preserve">PARA RAIOS POLIMERICO E LUZ DE SINALIZACAO 12KV,10KA </t>
  </si>
  <si>
    <t>067310</t>
  </si>
  <si>
    <t>TRANSFORMADOR DE DISTRIBUIÇÃO, 15 KV, TRIFÁSICO</t>
  </si>
  <si>
    <t>COMP-2847</t>
  </si>
  <si>
    <t xml:space="preserve">SUPORTE PARA TRANSFORMADOR EM POSTE DE CONCRETO CIRCULAR - FORNECIMENTO E INSTALAÇÃO. AF_12/2020 </t>
  </si>
  <si>
    <t xml:space="preserve">CORDOALHA DE COBRE NU 50 MM², NÃO ENTERRADA, COM ISOLADOR - FORNECIMENTO E INSTALAÇÃO. AF_12/2017 </t>
  </si>
  <si>
    <t>ASSENTAMENTO DE POSTE DE CONCRETO COM COMPRIMENTO NOMINAL DE 11 M, CARGA NOMINAL DE 1000 DAN, ENGASTAMENTO BASE CONCRETADA COM 1 M DE CONCRETO E 0,7 M DE SOLO. (ADAPTADO DE SINAPI 100613)</t>
  </si>
  <si>
    <t>COMP-2848</t>
  </si>
  <si>
    <t xml:space="preserve">CABO ELETRÔNICO CATEGORIA 6, INSTALADO EM EDIFICAÇÃO INSTITUCIONAL - FORNECIMENTO E INSTALAÇÃO. AF_11/2019 </t>
  </si>
  <si>
    <t>CABO DE FIBRA OPTICA 4 FIBRAS - PADRAO MULTIMODO</t>
  </si>
  <si>
    <t>059563</t>
  </si>
  <si>
    <t xml:space="preserve">CONDULETE DE ALUMÍNIO, TIPO LR, PARA ELETRODUTO DE AÇO GALVANIZADO DN 25 MM (1''), APARENTE - FORNECIMENTO E INSTALAÇÃO. AF_11/2016_P </t>
  </si>
  <si>
    <t xml:space="preserve">CONDULETE DE ALUMÍNIO, TIPO T, PARA ELETRODUTO DE AÇO GALVANIZADO DN 25 MM (1''), APARENTE - FORNECIMENTO E INSTALAÇÃO. AF_11/2016_P </t>
  </si>
  <si>
    <t>TOMADA PARA CANALETA TIPO DUTOTEC, RJ45. (ADAPTADO DE SBC 059503)</t>
  </si>
  <si>
    <t>COMP-2849</t>
  </si>
  <si>
    <t xml:space="preserve">TOMADA DE REDE RJ45 - FORNECIMENTO E INSTALAÇÃO. AF_11/2019 </t>
  </si>
  <si>
    <t>TOMADA DE REDE 2 MÓDULOS RJ45 - FORNECIMENTO E INSTALAÇÃO. (ADAPTADO DE SINAPI 98307)</t>
  </si>
  <si>
    <t>COMP-0946</t>
  </si>
  <si>
    <t xml:space="preserve">CAIXA DE PASSAGEM PARA TELEFONE 15X15X10CM (SOBREPOR), FORNECIMENTO E INSTALACAO. AF_11/2019 </t>
  </si>
  <si>
    <t>FORNECIMENTO E INSTALAÇÃO DE RACK 19" X 12U</t>
  </si>
  <si>
    <t>COMP-2850</t>
  </si>
  <si>
    <t xml:space="preserve"> RACK PISO 36U 1000MM 19 PRETO PORTA FRONTAL C/ VISOR ACRIL.</t>
  </si>
  <si>
    <t>068213</t>
  </si>
  <si>
    <t>068550</t>
  </si>
  <si>
    <t xml:space="preserve">RACK 16U 19"" x 675mm COM PORTA DE ACRILICO FUME </t>
  </si>
  <si>
    <t>KIT DE VENTILAÇÃO PARA RACK COM 2 VENTILADORES – PADRÃO 19" - FORNECIMENTO E INSTALAÇÃO</t>
  </si>
  <si>
    <t>COMP-0969</t>
  </si>
  <si>
    <t xml:space="preserve">DISTRIBUIDOR INTERNO OPTICO DIO 24 FIBRAS </t>
  </si>
  <si>
    <t>059251</t>
  </si>
  <si>
    <t xml:space="preserve">GUIA DE CABOS PADRAO 19"" </t>
  </si>
  <si>
    <t>059448</t>
  </si>
  <si>
    <t xml:space="preserve">PATCH PANEL 24 PORTAS, CATEGORIA 6 - FORNECIMENTO E INSTALAÇÃO. AF_11/2019 </t>
  </si>
  <si>
    <t xml:space="preserve">REGUA DE TOMADAS COM 8 TOMADAS </t>
  </si>
  <si>
    <t>059460</t>
  </si>
  <si>
    <t xml:space="preserve">SWITCH 24 PORTAS GERENCIÁVEL POE 10/100/1000. (ADAPTADO DE SBC 059252) </t>
  </si>
  <si>
    <t>COMP-2707</t>
  </si>
  <si>
    <t xml:space="preserve">BANDEJA DESLIZANTE PARA RACK 19"" </t>
  </si>
  <si>
    <t>059426</t>
  </si>
  <si>
    <t>PATCH CORDS RJ-45 / RJ-45, COMP.: 5 M - CATEGORIA 6A (ADAPTADO DE CPOS 69.09.360)</t>
  </si>
  <si>
    <t>COMP-2552</t>
  </si>
  <si>
    <t>PLUGUE RJ45 - CAT 6 - FORNECIMENTO E INSTALAÇÃO. (ADAPTADO DE SBC 061359)</t>
  </si>
  <si>
    <t>COMP-0963</t>
  </si>
  <si>
    <t xml:space="preserve">CRIMPAGEM, CERTIFICACAO E IDENTIFICACAO DOS CABOS UTP </t>
  </si>
  <si>
    <t>059435</t>
  </si>
  <si>
    <t>RECOLOCAÇÃO DE FORRO MINERAL MODULAR (ADAPTADO DE SBC 120715)</t>
  </si>
  <si>
    <t>5.1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</si>
  <si>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</si>
  <si>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</si>
  <si>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</si>
  <si>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</si>
  <si>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</si>
  <si>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</si>
  <si>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</si>
  <si>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</si>
  <si>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</si>
  <si>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</si>
  <si>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5.2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</si>
  <si>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</si>
  <si>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</si>
  <si>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</si>
  <si>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</si>
  <si>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</si>
  <si>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</si>
  <si>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</si>
  <si>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</si>
  <si>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</si>
  <si>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5.3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</si>
  <si>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</si>
  <si>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</si>
  <si>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</si>
  <si>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</si>
  <si>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</si>
  <si>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</si>
  <si>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</si>
  <si>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</si>
  <si>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</si>
  <si>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</si>
  <si>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</si>
  <si>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</si>
  <si>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</si>
  <si>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</si>
  <si>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5.3.15</t>
  </si>
  <si>
    <t>5.3.16</t>
  </si>
  <si>
    <t>5.3.17</t>
  </si>
  <si>
    <t>5.3.18</t>
  </si>
  <si>
    <t>5.3.19</t>
  </si>
  <si>
    <t>5.3.20</t>
  </si>
  <si>
    <t>5.3.21</t>
  </si>
  <si>
    <t>5.4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</si>
  <si>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</si>
  <si>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</si>
  <si>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</si>
  <si>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</si>
  <si>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</si>
  <si>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</si>
  <si>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</si>
  <si>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</si>
  <si>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5.5</t>
  </si>
  <si>
    <t>5.5.1</t>
  </si>
  <si>
    <t>5.5.2</t>
  </si>
  <si>
    <t>6.1</t>
  </si>
  <si>
    <t>6.1.1</t>
  </si>
  <si>
    <t>6.1.2</t>
  </si>
  <si>
    <t>6.1.3</t>
  </si>
  <si>
    <t>6.2</t>
  </si>
  <si>
    <t>6.2.1</t>
  </si>
  <si>
    <t>6.2.2</t>
  </si>
  <si>
    <t>6.3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</si>
  <si>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</si>
  <si>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</si>
  <si>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</si>
  <si>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</si>
  <si>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</si>
  <si>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</si>
  <si>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</si>
  <si>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</si>
  <si>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</si>
  <si>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</si>
  <si>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</si>
  <si>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</si>
  <si>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</si>
  <si>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</si>
  <si>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</si>
  <si>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6.3.16</t>
  </si>
  <si>
    <t>6.3.17</t>
  </si>
  <si>
    <t>6.3.18</t>
  </si>
  <si>
    <t>6.3.19</t>
  </si>
  <si>
    <t>6.3.20</t>
  </si>
  <si>
    <t>6.3.21</t>
  </si>
  <si>
    <t>6.3.22</t>
  </si>
  <si>
    <t>6.3.23</t>
  </si>
  <si>
    <t>6.3.24</t>
  </si>
  <si>
    <t>6.3.25</t>
  </si>
  <si>
    <t>6.3.26</t>
  </si>
  <si>
    <t>6.3.27</t>
  </si>
  <si>
    <t>6.3.28</t>
  </si>
  <si>
    <t>6.3.29</t>
  </si>
  <si>
    <t>6.3.30</t>
  </si>
  <si>
    <t>6.3.31</t>
  </si>
  <si>
    <t>6.3.32</t>
  </si>
  <si>
    <t>6.3.33</t>
  </si>
  <si>
    <t>6.3.34</t>
  </si>
  <si>
    <t>6.3.35</t>
  </si>
  <si>
    <t>6.3.36</t>
  </si>
  <si>
    <t>6.3.37</t>
  </si>
  <si>
    <t xml:space="preserve">RACK PISO 44U 1200MM 19 PRETO PORTA FRONTAL COM VISOR DE AC </t>
  </si>
  <si>
    <t>059319</t>
  </si>
  <si>
    <t>6.1.4</t>
  </si>
  <si>
    <t>6.3.38</t>
  </si>
  <si>
    <t>6.3.39</t>
  </si>
  <si>
    <t>6.3.40</t>
  </si>
  <si>
    <t>5.5.3</t>
  </si>
  <si>
    <t>5.5.4</t>
  </si>
  <si>
    <t>5.5.5</t>
  </si>
  <si>
    <t>5.5.6</t>
  </si>
  <si>
    <t>5.5.7</t>
  </si>
  <si>
    <t>5.5.8</t>
  </si>
  <si>
    <t>5.5.9</t>
  </si>
  <si>
    <t>5.5.10</t>
  </si>
  <si>
    <t>5.5.11</t>
  </si>
  <si>
    <t>5.5.12</t>
  </si>
  <si>
    <t>5.5.13</t>
  </si>
  <si>
    <t>5.5.14</t>
  </si>
  <si>
    <t>5.5.15</t>
  </si>
  <si>
    <t>5.5.16</t>
  </si>
  <si>
    <t>5.5.17</t>
  </si>
  <si>
    <t>5.5.18</t>
  </si>
  <si>
    <t>5.5.19</t>
  </si>
  <si>
    <t>5.5.20</t>
  </si>
  <si>
    <t>5.5.21</t>
  </si>
  <si>
    <t>5.5.22</t>
  </si>
  <si>
    <t>5.5.23</t>
  </si>
  <si>
    <t>5.5.24</t>
  </si>
  <si>
    <t>5.5.25</t>
  </si>
  <si>
    <t>5.5.26</t>
  </si>
  <si>
    <t>5.5.27</t>
  </si>
  <si>
    <t>5.5.28</t>
  </si>
  <si>
    <t>5.5.29</t>
  </si>
  <si>
    <t>5.5.30</t>
  </si>
  <si>
    <t>5.5.31</t>
  </si>
  <si>
    <t>5.5.32</t>
  </si>
  <si>
    <t>5.5.33</t>
  </si>
  <si>
    <t>5.5.34</t>
  </si>
  <si>
    <t>5.5.35</t>
  </si>
  <si>
    <t>5.5.36</t>
  </si>
  <si>
    <t>5.5.37</t>
  </si>
  <si>
    <t>5.5.38</t>
  </si>
  <si>
    <t>5.5.39</t>
  </si>
  <si>
    <t>5.5.40</t>
  </si>
  <si>
    <t>5.5.41</t>
  </si>
  <si>
    <t>5.6</t>
  </si>
  <si>
    <t>5.6.1</t>
  </si>
  <si>
    <t>5.6.2</t>
  </si>
  <si>
    <t>COMP-2622</t>
  </si>
  <si>
    <t>RETIRADA FORRO FALSO COM RETIRADA/EMPILHAMENTO MATERIAIS</t>
  </si>
  <si>
    <t>022709</t>
  </si>
  <si>
    <t xml:space="preserve">LOCACAO DE CONTAINER 2,30 X 6,00 M, ALT. 2,50 M, PARA ALMOXARIFADO </t>
  </si>
  <si>
    <t xml:space="preserve">LOCACAO DE CONTAINER 2,30 X 6,00 M, ALT. 2,50 M, COM 1 SANITARIO, PARA ESCRITORIO, COMPLETO, SEM DIVISORIAS INTERNAS </t>
  </si>
  <si>
    <t xml:space="preserve">ENGENHEIRO ELETRICISTA COM ENCARGOS COMPLEMENTARES </t>
  </si>
  <si>
    <t>EQUIPE DE APOIO (1 AJUDANTE)</t>
  </si>
  <si>
    <t>COMP-1256</t>
  </si>
  <si>
    <t>PLACA DE OBRA EM CHAPA DE ACO GALVANIZADO (ADAPTADO DE SINAPI 74209/001)</t>
  </si>
  <si>
    <t xml:space="preserve"> 101404 </t>
  </si>
  <si>
    <t>ENGENHEIRO ELETRICISTA COM ENCARGOS COMPLEMENTARES</t>
  </si>
  <si>
    <t>LOCACAO DE CONTAINER 2,30  X  6,00 M, ALT. 2,50 M, PARA ALMOXARIFADO</t>
  </si>
  <si>
    <t>LOCACAO DE CONTAINER 2,30 X 6,00 M, ALT. 2,50 M, COM 1 SANITARIO, PARA ESCRITORIO, COMPLETO, SEM DIVISORIAS INTERNAS</t>
  </si>
  <si>
    <t xml:space="preserve"> COMP-2499 </t>
  </si>
  <si>
    <t xml:space="preserve"> 022709 </t>
  </si>
  <si>
    <t xml:space="preserve"> COMP-2622 </t>
  </si>
  <si>
    <t xml:space="preserve"> 5.1.2 </t>
  </si>
  <si>
    <t xml:space="preserve"> 5.1.3 </t>
  </si>
  <si>
    <t xml:space="preserve"> 5.1.4 </t>
  </si>
  <si>
    <t xml:space="preserve"> 5.1.5 </t>
  </si>
  <si>
    <t xml:space="preserve"> 068207 </t>
  </si>
  <si>
    <t>ELETRODUTO FERRO GALVANIZADO 2""</t>
  </si>
  <si>
    <t xml:space="preserve"> 5.1.6 </t>
  </si>
  <si>
    <t xml:space="preserve"> 5.1.7 </t>
  </si>
  <si>
    <t xml:space="preserve"> 5.2.2 </t>
  </si>
  <si>
    <t xml:space="preserve"> 5.2.4 </t>
  </si>
  <si>
    <t xml:space="preserve"> 5.2.5 </t>
  </si>
  <si>
    <t xml:space="preserve"> 93671 </t>
  </si>
  <si>
    <t>DISJUNTOR TRIPOLAR TIPO DIN, CORRENTE NOMINAL DE 32A - FORNECIMENTO E INSTALAÇÃO. AF_10/2020</t>
  </si>
  <si>
    <t xml:space="preserve"> 064410 </t>
  </si>
  <si>
    <t>DISJUNTOR TRIPOLAR 80A CURVA C</t>
  </si>
  <si>
    <t xml:space="preserve"> 91967 </t>
  </si>
  <si>
    <t>INTERRUPTOR SIMPLES (3 MÓDULOS), 10A/250V, INCLUINDO SUPORTE E PLACA - FORNECIMENTO E INSTALAÇÃO. AF_12/2015</t>
  </si>
  <si>
    <t xml:space="preserve"> 91969 </t>
  </si>
  <si>
    <t>INTERRUPTOR PARALELO (3 MÓDULOS), 10A/250V, INCLUINDO SUPORTE E PLACA - FORNECIMENTO E INSTALAÇÃO. AF_12/2015</t>
  </si>
  <si>
    <t xml:space="preserve"> COMP-2823 </t>
  </si>
  <si>
    <t xml:space="preserve"> COMP-2824 </t>
  </si>
  <si>
    <t xml:space="preserve"> COMP-2831 </t>
  </si>
  <si>
    <t xml:space="preserve"> COMP-2840 </t>
  </si>
  <si>
    <t xml:space="preserve"> 98297 </t>
  </si>
  <si>
    <t>CABO ELETRÔNICO CATEGORIA 6, INSTALADO EM EDIFICAÇÃO INSTITUCIONAL - FORNECIMENTO E INSTALAÇÃO. AF_11/2019</t>
  </si>
  <si>
    <t xml:space="preserve"> COMP-0946 </t>
  </si>
  <si>
    <t xml:space="preserve"> 059319 </t>
  </si>
  <si>
    <t>RACK PISO 44U 1200MM 19 PRETO PORTA FRONTAL COM VISOR DE AC</t>
  </si>
  <si>
    <t xml:space="preserve"> 068550 </t>
  </si>
  <si>
    <t>RACK 16U 19"" x 675mm COM PORTA DE ACRILICO FUME</t>
  </si>
  <si>
    <t xml:space="preserve"> COMP-0969 </t>
  </si>
  <si>
    <t xml:space="preserve"> 059251 </t>
  </si>
  <si>
    <t>DISTRIBUIDOR INTERNO OPTICO DIO 24 FIBRAS</t>
  </si>
  <si>
    <t xml:space="preserve"> 059448 </t>
  </si>
  <si>
    <t>GUIA DE CABOS PADRAO 19""</t>
  </si>
  <si>
    <t xml:space="preserve"> 98302 </t>
  </si>
  <si>
    <t>PATCH PANEL 24 PORTAS, CATEGORIA 6 - FORNECIMENTO E INSTALAÇÃO. AF_11/2019</t>
  </si>
  <si>
    <t xml:space="preserve"> 059460 </t>
  </si>
  <si>
    <t>REGUA DE TOMADAS COM 8 TOMADAS</t>
  </si>
  <si>
    <t xml:space="preserve"> 059435 </t>
  </si>
  <si>
    <t>CRIMPAGEM, CERTIFICACAO E IDENTIFICACAO DOS CABOS UTP</t>
  </si>
  <si>
    <t>PT</t>
  </si>
  <si>
    <t>ORÇAMENTO SINTÉTICO
DESONERADO</t>
  </si>
  <si>
    <t>TERESINA - PI</t>
  </si>
  <si>
    <t>TRIBUNAL REGIONAL ELEITORAL - PIAUÍ</t>
  </si>
  <si>
    <t>PRAÇA EDGAR NOGUEIRA</t>
  </si>
  <si>
    <t>CABRAL</t>
  </si>
  <si>
    <t>TERESINA</t>
  </si>
  <si>
    <t>PI</t>
  </si>
  <si>
    <t>05 MESES</t>
  </si>
  <si>
    <t>22/11/2021</t>
  </si>
  <si>
    <t xml:space="preserve"> 101318 </t>
  </si>
  <si>
    <t>CURSO DE CAPACITAÇÃO PARA ENGENHEIRO ELETRICISTA (ENCARGOS COMPLEMENTARES) - MENSALISTA</t>
  </si>
  <si>
    <t xml:space="preserve"> 00043498 </t>
  </si>
  <si>
    <t>EPI - FAMILIA ENGENHEIRO CIVIL - MENSALISTA (ENCARGOS COMPLEMENTARES - COLETADO CAIXA)</t>
  </si>
  <si>
    <t xml:space="preserve"> 00043474 </t>
  </si>
  <si>
    <t>FERRAMENTAS - FAMILIA ENGENHEIRO CIVIL - MENSALISTA (ENCARGOS COMPLEMENTARES - COLETADO CAIXA)</t>
  </si>
  <si>
    <t xml:space="preserve"> 00040939 </t>
  </si>
  <si>
    <t>ENGENHEIRO ELETRICISTA (MENSALISTA)</t>
  </si>
  <si>
    <t xml:space="preserve"> 00010775 </t>
  </si>
  <si>
    <t>CONCRETO MAGRO PARA LASTRO, TRAÇO 1:4,5:4,5 (EM MASSA SECA DE CIMENTO/ AREIA MÉDIA/ BRITA 1) - PREPARO MECÂNICO COM BETONEIRA 400 L. AF_05/2021</t>
  </si>
  <si>
    <t xml:space="preserve"> 005026 </t>
  </si>
  <si>
    <t>TRAVESSA CLICADA RF2 C/1250mm BRASGIPS</t>
  </si>
  <si>
    <t xml:space="preserve"> 005034 </t>
  </si>
  <si>
    <t>ARAME/PINO FURADO 1/4"/FINCAPINO C22/PREGO-FORRO STERN</t>
  </si>
  <si>
    <t xml:space="preserve"> 005052 </t>
  </si>
  <si>
    <t>CANTONEIRA DE REFORCO PERFURADA 23 x 23mm 3m</t>
  </si>
  <si>
    <t xml:space="preserve"> 005053 </t>
  </si>
  <si>
    <t>FORRO ARMSTRONG GEORGIAN LAYIN 1,250x0,625mm</t>
  </si>
  <si>
    <t xml:space="preserve"> 062222 </t>
  </si>
  <si>
    <t>PERFIL TRAVESSA CLICADO PARA FORRO REMOVIVEL 24x625mm</t>
  </si>
  <si>
    <t xml:space="preserve"> 004048 </t>
  </si>
  <si>
    <t>ELETRODUTO GALVANIZADO NBR 5597 50mm 2" (4,603kg/m)</t>
  </si>
  <si>
    <t xml:space="preserve"> 00001573 </t>
  </si>
  <si>
    <t>TERMINAL A COMPRESSAO EM COBRE ESTANHADO PARA CABO 6 MM2, 1 FURO E 1 COMPRESSAO, PARA PARAFUSO DE FIXACAO M6</t>
  </si>
  <si>
    <t xml:space="preserve"> 005960 </t>
  </si>
  <si>
    <t>DISJUNTOR - MINI DISJUNTOR TRIPOLAR WEG MDW-C80-3 80A CURVA C 5KA</t>
  </si>
  <si>
    <t xml:space="preserve"> 91966 </t>
  </si>
  <si>
    <t>INTERRUPTOR SIMPLES (3 MÓDULOS), 10A/250V, SEM SUPORTE E SEM PLACA - FORNECIMENTO E INSTALAÇÃO. AF_12/2015</t>
  </si>
  <si>
    <t xml:space="preserve"> 91968 </t>
  </si>
  <si>
    <t>INTERRUPTOR PARALELO (3 MÓDULOS), 10A/250V, SEM SUPORTE E SEM PLACA - FORNECIMENTO E INSTALAÇÃO. AF_12/2015</t>
  </si>
  <si>
    <t xml:space="preserve"> 003510 </t>
  </si>
  <si>
    <t>PERFILADO - CURVA HORIZONTAL OU VERTICAL 38x38mm</t>
  </si>
  <si>
    <t xml:space="preserve"> 9866 </t>
  </si>
  <si>
    <t>Tala plana perfurada 38mm</t>
  </si>
  <si>
    <t xml:space="preserve"> 00001895 </t>
  </si>
  <si>
    <t>LUVA EM PVC RIGIDO ROSCAVEL, DE 4", PARA ELETRODUTO</t>
  </si>
  <si>
    <t xml:space="preserve"> 9705 </t>
  </si>
  <si>
    <t>Tala plana perfurada 50mm</t>
  </si>
  <si>
    <t xml:space="preserve"> 3625 </t>
  </si>
  <si>
    <t>Gancho curto para perfilado, ref. Mopa ou similar</t>
  </si>
  <si>
    <t xml:space="preserve"> 13355 </t>
  </si>
  <si>
    <t>Arruela de pressão 1/4"</t>
  </si>
  <si>
    <t xml:space="preserve"> 8347 </t>
  </si>
  <si>
    <t>Arruela lisa zincada ø 1/4"</t>
  </si>
  <si>
    <t xml:space="preserve"> 00004376 </t>
  </si>
  <si>
    <t>BUCHA DE NYLON SEM ABA S8</t>
  </si>
  <si>
    <t xml:space="preserve"> 00011945 </t>
  </si>
  <si>
    <t>BUCHA DE NYLON SEM ABA S4</t>
  </si>
  <si>
    <t xml:space="preserve"> 9878 </t>
  </si>
  <si>
    <t>Parafuso sextavado bimetálico rosca soberba 1/4" x 45mm</t>
  </si>
  <si>
    <t>Un</t>
  </si>
  <si>
    <t xml:space="preserve"> 00039599 </t>
  </si>
  <si>
    <t>CABO DE PAR TRANCADO UTP, 4 PARES, CATEGORIA 6</t>
  </si>
  <si>
    <t xml:space="preserve"> 007345 </t>
  </si>
  <si>
    <t>RACK PISO 44U 1200mm 19" PRETO PORTA FRONTAL COM VISOR DE ACRILICO</t>
  </si>
  <si>
    <t xml:space="preserve"> 012064 </t>
  </si>
  <si>
    <t>RACK - KIT VENTILACAO COM 2 VENTILADORES PARA RACK PISO/PAREDE</t>
  </si>
  <si>
    <t xml:space="preserve"> 047588 </t>
  </si>
  <si>
    <t>RACK - DISTRIBUIDOR INTERNO OPTICO DIO 24 FIBRAS ODF FULL JZ-1823 APC</t>
  </si>
  <si>
    <t xml:space="preserve"> 041898 </t>
  </si>
  <si>
    <t>RACK - GUIA DE CABOS 1U PADRAO 19"</t>
  </si>
  <si>
    <t xml:space="preserve"> 00039596 </t>
  </si>
  <si>
    <t>PATCH PANEL, 24 PORTAS, CATEGORIA 6, COM RACKS DE 19" E 1 U DE ALTURA</t>
  </si>
  <si>
    <t xml:space="preserve"> 514474 </t>
  </si>
  <si>
    <t>RACK - REGUA 19" DE TOMADAS COM 8 TOMADAS 10A</t>
  </si>
  <si>
    <t xml:space="preserve"> 037487 </t>
  </si>
  <si>
    <t>ACESSORIOS PERFILADOS PERFURADOS</t>
  </si>
  <si>
    <t xml:space="preserve"> 11.12.14 </t>
  </si>
  <si>
    <t>SUDECAP</t>
  </si>
  <si>
    <t>SAIDA LATERAL DUPLA  3/4"</t>
  </si>
  <si>
    <t xml:space="preserve"> 83387 </t>
  </si>
  <si>
    <t>CAIXA DE PASSAGEM PVC 4X2" - FORNECIMENTO E INSTALACAO</t>
  </si>
  <si>
    <t xml:space="preserve"> 83388 </t>
  </si>
  <si>
    <t>CAIXA DE PASSAGEM PVC 3" OCTOGONAL</t>
  </si>
  <si>
    <t xml:space="preserve"> 4234 </t>
  </si>
  <si>
    <t>Luva para eletroduto pvc roscavel, d=4 " -  fornecimento</t>
  </si>
  <si>
    <t>CABOS UNIPOLAR</t>
  </si>
  <si>
    <t xml:space="preserve"> ELE-CAB-290 </t>
  </si>
  <si>
    <t>SETOP</t>
  </si>
  <si>
    <t>CABO DE COBRE FLEXÍVEL, CLASSE 5, ISOLAMENTO TIPO EPR/HEPR, NÃO HALOGENADO, ANTICHAMA, TERMOFIXO, UNIPOLAR, SEÇÃO 10 MM2, 90°C, 0,6/1KV</t>
  </si>
  <si>
    <t>m</t>
  </si>
  <si>
    <t xml:space="preserve"> ELE-CAB-295 </t>
  </si>
  <si>
    <t>CABO DE COBRE FLEXÍVEL, CLASSE 5, ISOLAMENTO TIPO EPR/HEPR, NÃO HALOGENADO, ANTICHAMA, TERMOFIXO, UNIPOLAR, SEÇÃO 16 MM2, 90°C, 0,6/1KV</t>
  </si>
  <si>
    <t xml:space="preserve"> ELE-CAB-300 </t>
  </si>
  <si>
    <t>CABO DE COBRE FLEXÍVEL, CLASSE 5, ISOLAMENTO TIPO EPR/HEPR, NÃO HALOGENADO, ANTICHAMA, TERMOFIXO, UNIPOLAR, SEÇÃO 25 MM2, 90°C, 0,6/1KV</t>
  </si>
  <si>
    <t xml:space="preserve"> ELE-CAB-245 </t>
  </si>
  <si>
    <t xml:space="preserve"> ELE-CAB-235 </t>
  </si>
  <si>
    <t>CABO DE COBRE FLEXÍVEL, CLASSE 5, ISOLAMENTO TIPO LSHF/ATOX, NÃO HALOGENADO, ANTICHAMA, TERMOPLÁSTICO, UNIPOLAR, SEÇÃO 2,5 MM2, 70°C, 450/750V</t>
  </si>
  <si>
    <t xml:space="preserve"> ELE-CAB-240 </t>
  </si>
  <si>
    <t>CABO DE COBRE FLEXÍVEL, CLASSE 5, ISOLAMENTO TIPO LSHF/ATOX, NÃO HALOGENADO, ANTICHAMA, TERMOPLÁSTICO, UNIPOLAR, SEÇÃO 4 MM2, 70°C, 450/750V</t>
  </si>
  <si>
    <t>CAIXA DE PASSAGEM E CANALETA DE ALUMINIO</t>
  </si>
  <si>
    <t xml:space="preserve"> 055782 </t>
  </si>
  <si>
    <t>CAIXA DE PASSAGEM EM ALVENARIA 30x30cm</t>
  </si>
  <si>
    <t xml:space="preserve"> 078032 </t>
  </si>
  <si>
    <t>TAMPA DE FERRO FUNDIDO 300MM PARA CAIXA DE ATERRAMENTO</t>
  </si>
  <si>
    <t xml:space="preserve"> COMP-2556 </t>
  </si>
  <si>
    <t>7.4</t>
  </si>
  <si>
    <t>7.5</t>
  </si>
  <si>
    <t>7.6</t>
  </si>
  <si>
    <t>7.7</t>
  </si>
  <si>
    <t>7.8</t>
  </si>
  <si>
    <t xml:space="preserve"> 92029 </t>
  </si>
  <si>
    <t>INTERRUPTOR PARALELO (1 MÓDULO) COM 1 TOMADA DE EMBUTIR 2P+T 10 A,  INCLUINDO SUPORTE E PLACA - FORNECIMENTO E INSTALAÇÃO. AF_12/2015</t>
  </si>
  <si>
    <t xml:space="preserve"> 92023 </t>
  </si>
  <si>
    <t>INTERRUPTOR SIMPLES (1 MÓDULO) COM 1 TOMADA DE EMBUTIR 2P+T 10 A,  INCLUINDO SUPORTE E PLACA - FORNECIMENTO E INSTALAÇÃO. AF_12/2015</t>
  </si>
  <si>
    <t xml:space="preserve"> ED-15789 </t>
  </si>
  <si>
    <t>CONJUNTO DE DOIS (2) MÓDULOS COM FURO PARA SAÍDA DE FIO Ø 10MM, COM PLACA 4"X4" DE DOIS (2) POSTO, INCLUSIVE FORNECIMENTO, INSTALAÇÃO, SUPORTE, MÓDULO E PLACA</t>
  </si>
  <si>
    <t xml:space="preserve"> 072578 </t>
  </si>
  <si>
    <t>AGETOP CIVIL</t>
  </si>
  <si>
    <t>TOMADA HEXAGONAL 2P + T - 10A - 250V</t>
  </si>
  <si>
    <t xml:space="preserve"> 072579 </t>
  </si>
  <si>
    <t>TOMADA HEXAGONAL DUPLA 2P + T - 10A - 250V</t>
  </si>
  <si>
    <t>DISPOSITIVO DE PROTEÇÃO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</si>
  <si>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</si>
  <si>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</si>
  <si>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</si>
  <si>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</si>
  <si>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</si>
  <si>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</si>
  <si>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</si>
  <si>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</si>
  <si>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</si>
  <si>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</si>
  <si>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</si>
  <si>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</si>
  <si>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</si>
  <si>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</si>
  <si>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8.15</t>
  </si>
  <si>
    <t xml:space="preserve"> ELE-DIS-035 </t>
  </si>
  <si>
    <t>DISJUNTOR TRIPOLAR TERMOMAGNÉTICO 10KA, DE 10A</t>
  </si>
  <si>
    <t xml:space="preserve"> ELE-DIS-046 </t>
  </si>
  <si>
    <t>DISJUNTOR TRIPOLAR TERMOMAGNÉTICO 10KA, DE 100A</t>
  </si>
  <si>
    <t xml:space="preserve"> 064325 </t>
  </si>
  <si>
    <t>DISJUNTOR TRIPOLAR 16A/10KA</t>
  </si>
  <si>
    <t xml:space="preserve"> ELE-DIS-038 </t>
  </si>
  <si>
    <t>DISJUNTOR TRIPOLAR TERMOMAGNÉTICO 10KA, DE 25A</t>
  </si>
  <si>
    <t xml:space="preserve"> ELE-DIS-041 </t>
  </si>
  <si>
    <t>DISJUNTOR TRIPOLAR TERMOMAGNÉTICO 10KA, DE 40A</t>
  </si>
  <si>
    <t xml:space="preserve"> ELE-DIS-042 </t>
  </si>
  <si>
    <t>DISJUNTOR TRIPOLAR TERMOMAGNÉTICO 10KA, DE 50A</t>
  </si>
  <si>
    <t xml:space="preserve"> 12453 </t>
  </si>
  <si>
    <t>Disjuntor tipo DIN/IEC, tripolar 63A, 10KA, Curva C</t>
  </si>
  <si>
    <t xml:space="preserve"> ELE-DIS-044 </t>
  </si>
  <si>
    <t>DISJUNTOR TRIPOLAR TERMOMAGNÉTICO 10KA, DE 70A</t>
  </si>
  <si>
    <t xml:space="preserve"> 37.13.600 </t>
  </si>
  <si>
    <t>Disjuntor termomagnético, unipolar 127/220 V, corrente de 10 A até 30 A</t>
  </si>
  <si>
    <t xml:space="preserve"> ELE-DIS-078 </t>
  </si>
  <si>
    <t>DISJUNTOR TRIPOLAR TERMOMAGNÉTICO 5KA, DE 25A</t>
  </si>
  <si>
    <t xml:space="preserve"> 101900 </t>
  </si>
  <si>
    <t>DISJUNTOR BAIXA TENSÃO TRIPOLAR A SECO  800A/600V - FORNECIMENTO E INSTALAÇÃO. AF_10/2020</t>
  </si>
  <si>
    <t xml:space="preserve"> COMP-0407 </t>
  </si>
  <si>
    <t>INTERRUPTOR BIPOLAR DR (FASE/NEUTRO) 25 A - In 30mA  - FORNECIMENTO E INSTALAÇÃO. AF_04/2016</t>
  </si>
  <si>
    <t xml:space="preserve"> 071184 </t>
  </si>
  <si>
    <t>DISPOSITIVO DE PROTEÇÃO CONTRA SURTOS (D.P.S.) 275V DE 8 A 40KA</t>
  </si>
  <si>
    <t xml:space="preserve"> 9526 </t>
  </si>
  <si>
    <t>Gancho curto para perfilado, ( ref.: Mopa ou similar)</t>
  </si>
  <si>
    <t>ELETRODUTOS</t>
  </si>
  <si>
    <t>10.1</t>
  </si>
  <si>
    <t>10.2</t>
  </si>
  <si>
    <t>10.3</t>
  </si>
  <si>
    <t>10.4</t>
  </si>
  <si>
    <t>10.5</t>
  </si>
  <si>
    <t>10.8</t>
  </si>
  <si>
    <t>10.9</t>
  </si>
  <si>
    <t>10.10</t>
  </si>
  <si>
    <t xml:space="preserve"> 11819 </t>
  </si>
  <si>
    <t>Abraçadeira metálica tipo "D" de 2"</t>
  </si>
  <si>
    <t xml:space="preserve"> 060140 </t>
  </si>
  <si>
    <t>LAMPADA LED BULBO DIMERIZVEL 10W, BASE E27, BIVOLT, BRANCO</t>
  </si>
  <si>
    <t>11.1</t>
  </si>
  <si>
    <t>QUADROS DE DISTRIBUIÇÃO</t>
  </si>
  <si>
    <t xml:space="preserve"> 101879 </t>
  </si>
  <si>
    <t>QUADRO DE DISTRIBUIÇÃO DE ENERGIA EM CHAPA DE AÇO GALVANIZADO, DE EMBUTIR, COM BARRAMENTO TRIFÁSICO, PARA 24 DISJUNTORES DIN 100A - FORNECIMENTO E INSTALAÇÃO. AF_10/2020</t>
  </si>
  <si>
    <t>CABEAMENTO ESTRUTURADO</t>
  </si>
  <si>
    <t>CABEAMENTO</t>
  </si>
  <si>
    <t>12.1</t>
  </si>
  <si>
    <t>12.1.1</t>
  </si>
  <si>
    <t>12.1.2</t>
  </si>
  <si>
    <t xml:space="preserve"> 059434 </t>
  </si>
  <si>
    <t>CABO FIBRA OPTICA 6 VIAS</t>
  </si>
  <si>
    <t>PERFILADOS</t>
  </si>
  <si>
    <t>12.2</t>
  </si>
  <si>
    <t>12.2.1</t>
  </si>
  <si>
    <t>12.2.2</t>
  </si>
  <si>
    <t>12.2.3</t>
  </si>
  <si>
    <t>12.2.4</t>
  </si>
  <si>
    <t>12.3</t>
  </si>
  <si>
    <t>ACESSORIOS PARA ELETRODUTOD</t>
  </si>
  <si>
    <t xml:space="preserve"> 12.3.1 </t>
  </si>
  <si>
    <t xml:space="preserve"> 12.3.2 </t>
  </si>
  <si>
    <t xml:space="preserve"> 063564 </t>
  </si>
  <si>
    <t>CONDULETE PVC DE ENCAIXE COM 5 ENTRADAS PARA ELETRODUTO 1""</t>
  </si>
  <si>
    <t xml:space="preserve"> 12.3.3 </t>
  </si>
  <si>
    <t xml:space="preserve"> 067910 </t>
  </si>
  <si>
    <t>CONDULETE ALUMINIO TIPO LB/LL/LR - 1"" COM TAMPA</t>
  </si>
  <si>
    <t xml:space="preserve"> 12.3.4 </t>
  </si>
  <si>
    <t xml:space="preserve"> 058089 </t>
  </si>
  <si>
    <t>CONDULETE ALUMINIO ""T"" 1"" SEM TAMPA</t>
  </si>
  <si>
    <t>ACESSORIOS PARA INSTALAÇÕES</t>
  </si>
  <si>
    <t>12.4</t>
  </si>
  <si>
    <t xml:space="preserve"> 053528 </t>
  </si>
  <si>
    <t>TAMPA CEGA 150mm</t>
  </si>
  <si>
    <t xml:space="preserve"> 12.4.3 </t>
  </si>
  <si>
    <t xml:space="preserve"> 12538 </t>
  </si>
  <si>
    <t xml:space="preserve"> 12.4.4 </t>
  </si>
  <si>
    <t xml:space="preserve"> 9816 </t>
  </si>
  <si>
    <t>Arruela lisa zincada d=1/4"</t>
  </si>
  <si>
    <t xml:space="preserve"> 12.4.5 </t>
  </si>
  <si>
    <t xml:space="preserve"> COMP-2548 </t>
  </si>
  <si>
    <t>BUCHA DE NYLON S-4 (ADAPTADO DE AGETOP 070390)</t>
  </si>
  <si>
    <t xml:space="preserve"> 12.4.6 </t>
  </si>
  <si>
    <t xml:space="preserve"> 12.4.7 </t>
  </si>
  <si>
    <t xml:space="preserve"> SUDECAP.ADAPTADO.11.92.23 </t>
  </si>
  <si>
    <t>PARAFUSO FENDA GALVAN. CAB. PANELA 2,9x25mm AUTOATARRACHANTE</t>
  </si>
  <si>
    <t xml:space="preserve"> 12.4.8 </t>
  </si>
  <si>
    <t xml:space="preserve"> 12.4.9 </t>
  </si>
  <si>
    <t xml:space="preserve"> 071872 </t>
  </si>
  <si>
    <t>PARAFUSO SEXTAVADO  CABEÇA LENTILHA D = 1/4" X 5/8"</t>
  </si>
  <si>
    <t xml:space="preserve"> 12495 </t>
  </si>
  <si>
    <t>Porca sextavada 1/4", bicromatizada</t>
  </si>
  <si>
    <t xml:space="preserve"> 12613 </t>
  </si>
  <si>
    <t>Barra roscada bicromatizada ø 1/4" x 3000mm</t>
  </si>
  <si>
    <t xml:space="preserve"> 12.5.1 </t>
  </si>
  <si>
    <t xml:space="preserve"> 12.5.2 </t>
  </si>
  <si>
    <t>DISPOSITIVOS ELETRICOS</t>
  </si>
  <si>
    <t>12.6</t>
  </si>
  <si>
    <t xml:space="preserve"> 12.6.1 </t>
  </si>
  <si>
    <t xml:space="preserve"> 072385 </t>
  </si>
  <si>
    <t>TAMPA CEGA PARA CONDULETE DE PVC</t>
  </si>
  <si>
    <t>12.7</t>
  </si>
  <si>
    <t>DISPOSITIVO DE CABEAMENTO</t>
  </si>
  <si>
    <t xml:space="preserve"> 12.7.1 </t>
  </si>
  <si>
    <t xml:space="preserve"> 12.7.2 </t>
  </si>
  <si>
    <t xml:space="preserve"> 12.7.3 </t>
  </si>
  <si>
    <t xml:space="preserve"> 072596 </t>
  </si>
  <si>
    <t>TOMADA LÓGICA RJ-45 CAT. 6 (LINHA X OU EQUIVALENTE)</t>
  </si>
  <si>
    <t xml:space="preserve"> 12.7.5 </t>
  </si>
  <si>
    <t>12.8</t>
  </si>
  <si>
    <t>PERFILADO LISO</t>
  </si>
  <si>
    <t xml:space="preserve"> 12.8.1 </t>
  </si>
  <si>
    <t xml:space="preserve"> 12.8.4 </t>
  </si>
  <si>
    <t>12.9</t>
  </si>
  <si>
    <t>RACK 44 U - 2 UNIDADES</t>
  </si>
  <si>
    <t xml:space="preserve"> 12.9.1 </t>
  </si>
  <si>
    <t xml:space="preserve"> COMP-1340 </t>
  </si>
  <si>
    <t>BANDEJA TELESCÓPICA 1U PARA RACK</t>
  </si>
  <si>
    <t xml:space="preserve"> 071886 </t>
  </si>
  <si>
    <t>PATCH CORD COMPRIMENTO DE 2,50 M - CAT.6</t>
  </si>
  <si>
    <t xml:space="preserve"> 69.03.340 </t>
  </si>
  <si>
    <t>Conector RJ-45 fêmea - categoria 6</t>
  </si>
  <si>
    <t>RACK 32U - 9 UNIDADES</t>
  </si>
  <si>
    <t xml:space="preserve"> 12.10.1 </t>
  </si>
  <si>
    <t xml:space="preserve"> 059637 </t>
  </si>
  <si>
    <t>RACK DESMONTAVEL 36U x 770mm</t>
  </si>
  <si>
    <t>RACK 16U - 5 UNIDADES</t>
  </si>
  <si>
    <t xml:space="preserve"> 12.12.1 </t>
  </si>
  <si>
    <t>SERVIÇOS COMPLEMENTARES</t>
  </si>
  <si>
    <t xml:space="preserve"> 13.1 </t>
  </si>
  <si>
    <t>Planilha Orçamentária Analítica</t>
  </si>
  <si>
    <t xml:space="preserve"> 100534 </t>
  </si>
  <si>
    <t>TECNICO DE EDIFICACOES COM ENCARGOS COMPLEMENTARES</t>
  </si>
  <si>
    <t xml:space="preserve"> 100536 </t>
  </si>
  <si>
    <t>CURSO DE CAPACITAÇÃO PARA TECNICO DE EDIFICACOES (ENCARGOS COMPLEMENTARES) - MENSALISTA</t>
  </si>
  <si>
    <t xml:space="preserve"> 00043494 </t>
  </si>
  <si>
    <t>EPI - FAMILIA ALMOXARIFE - MENSALISTA (ENCARGOS COMPLEMENTARES - COLETADO CAIXA)</t>
  </si>
  <si>
    <t xml:space="preserve"> 00043470 </t>
  </si>
  <si>
    <t>FERRAMENTAS - FAMILIA ALMOXARIFE - MENSALISTA (ENCARGOS COMPLEMENTARES - COLETADO CAIXA)</t>
  </si>
  <si>
    <t xml:space="preserve"> 00040946 </t>
  </si>
  <si>
    <t>TECNICO DE EDIFICACOES (MENSALISTA)</t>
  </si>
  <si>
    <t>LOCACAO DE CONTAINER 2,30 X 6,00 M, ALT. 2,50 M, PARA ESCRITORIO, SEM DIVISORIAS INTERNAS E SEM SANITARIO (NAO INCLUI MOBILIZACAO/DESMOBILIZACAO)</t>
  </si>
  <si>
    <t>LOCACAO DE CONTAINER 2,30 X 6,00 M, ALT. 2,50 M, COM 1 SANITARIO, PARA ESCRITORIO, COMPLETO, SEM DIVISORIAS INTERNAS (NAO INCLUI MOBILIZACAO/DESMOBILIZACAO)</t>
  </si>
  <si>
    <t>PLACA DE OBRA (PARA CONSTRUCAO CIVIL) EM CHAPA GALVANIZADA *N. 22*, ADESIVADA, DE *2,4 X 1,2* M (SEM POSTES PARA FIXACAO)</t>
  </si>
  <si>
    <t>PERFILADO E ACESSORIO, INCLUSIVE CONEXOES</t>
  </si>
  <si>
    <t xml:space="preserve"> 55.10.10 </t>
  </si>
  <si>
    <t>AUXILIAR BOMBEIRO/ELETRICISTA</t>
  </si>
  <si>
    <t xml:space="preserve"> 55.10.55 </t>
  </si>
  <si>
    <t xml:space="preserve"> 74.05.45 </t>
  </si>
  <si>
    <t>PORCA LOSANGULAR COM PINO 5/16"</t>
  </si>
  <si>
    <t xml:space="preserve"> 74.05.32 </t>
  </si>
  <si>
    <t>PORCA SEXTAVADA 5/16"</t>
  </si>
  <si>
    <t xml:space="preserve"> 74.05.10 </t>
  </si>
  <si>
    <t>SAIDA LATERAL DUPLA DE PERFILADO P/ELETRODUTO 3/4"</t>
  </si>
  <si>
    <t xml:space="preserve"> 74.05.31 </t>
  </si>
  <si>
    <t>ARRUELA LISA 5/16"</t>
  </si>
  <si>
    <t xml:space="preserve"> 00001871 </t>
  </si>
  <si>
    <t>CAIXA OCTOGONAL DE FUNDO MOVEL, EM PVC, DE 3" X 3", PARA ELETRODUTO FLEXIVEL CORRUGADO</t>
  </si>
  <si>
    <t>Subestação Transformadora em Poste</t>
  </si>
  <si>
    <t xml:space="preserve"> MAO-AJD-015 </t>
  </si>
  <si>
    <t>AJUDANTE DE ELETRICISTA COM ENCARGOS COMPLEMENTARES</t>
  </si>
  <si>
    <t>hora</t>
  </si>
  <si>
    <t xml:space="preserve"> MAO-OFC-035 </t>
  </si>
  <si>
    <t xml:space="preserve"> MATED- 11800 </t>
  </si>
  <si>
    <t>CABO UNIPOLAR ISOLADO EM POLÍMERO TERMOFIXO, TIPO EPR, NÃO HALOGENADO, 0,6/1KV, 90°C - BAIXA TENSÃO ( ENCORDOAMENTO: CLASSE 5 / SEÇÃO TRANSVERSAL: 10 MM2)</t>
  </si>
  <si>
    <t xml:space="preserve"> MATED- 12522 </t>
  </si>
  <si>
    <t>FITA ISOLANTE ANTI- CHAMA</t>
  </si>
  <si>
    <t xml:space="preserve"> MATED- 11801 </t>
  </si>
  <si>
    <t>CABO UNIPOLAR ISOLADO EM POLÍMERO TERMOFIXO, TIPO EPR, NÃO HALOGENADO, 0,6/1KV, 90°C - BAIXA TENSÃO ( ENCORDOAMENTO: CLASSE 5 / SEÇÃO TRANSVERSAL: 16 MM2)</t>
  </si>
  <si>
    <t xml:space="preserve"> MATED- 11802 </t>
  </si>
  <si>
    <t>CABO UNIPOLAR ISOLADO EM POLÍMERO TERMOFIXO, TIPO EPR, NÃO HALOGENADO, 0,6/1KV, 90°C - BAIXA TENSÃO ( ENCORDOAMENTO: CLASSE 5 / SEÇÃO TRANSVERSAL: 25 MM2)</t>
  </si>
  <si>
    <t xml:space="preserve"> MATED- 11806 </t>
  </si>
  <si>
    <t>CABO UNIPOLAR ISOLADO EM POLÍMERO TERMOPLÁSTICO, TIPO LSHF/ATOX, NÃO HALOGENADO, 450/750V, 70°C - BAIXA TENSÃO ( ENCORDOAMENTO: CLASSE 5 / SEÇÃO TRANSVERSAL: 2,50 MM2)</t>
  </si>
  <si>
    <t xml:space="preserve"> MATED- 11807 </t>
  </si>
  <si>
    <t>CABO UNIPOLAR ISOLADO EM POLÍMERO TERMOPLÁSTICO, TIPO LSHF/ATOX, NÃO HALOGENADO, 450/750V, 70°C - BAIXA TENSÃO ( ENCORDOAMENTO: CLASSE 5 / SEÇÃO TRANSVERSAL: 4 MM2)</t>
  </si>
  <si>
    <t xml:space="preserve"> 087021 </t>
  </si>
  <si>
    <t>ARGAMASSA PREFABRICADA PARA CONTRAPISO MATRIX VOTORANTIN (12,80 kg/m2xcm)</t>
  </si>
  <si>
    <t xml:space="preserve"> 087024 </t>
  </si>
  <si>
    <t>ARGAMASSA PREFABRICADA PARA ASSENT.TIJOLOS VOTOMASSA</t>
  </si>
  <si>
    <t xml:space="preserve"> 001900 </t>
  </si>
  <si>
    <t>TIJOLO CERAMICO MACICO RECOSIDO 6,0 x 9 x 19cm (UNIDADE)</t>
  </si>
  <si>
    <t xml:space="preserve"> 077115 </t>
  </si>
  <si>
    <t>TAMPA FERRO FUNDIDO 300mm PARA TEL550/552</t>
  </si>
  <si>
    <t xml:space="preserve"> 004109 </t>
  </si>
  <si>
    <t>TOMADAS</t>
  </si>
  <si>
    <t xml:space="preserve"> 7.1 </t>
  </si>
  <si>
    <t xml:space="preserve"> 7.2 </t>
  </si>
  <si>
    <t xml:space="preserve"> 7.3 </t>
  </si>
  <si>
    <t xml:space="preserve"> 7.4 </t>
  </si>
  <si>
    <t xml:space="preserve"> 92028 </t>
  </si>
  <si>
    <t>INTERRUPTOR PARALELO (1 MÓDULO) COM 1 TOMADA DE EMBUTIR 2P+T 10 A,  SEM SUPORTE E SEM PLACA - FORNECIMENTO E INSTALAÇÃO. AF_12/2015</t>
  </si>
  <si>
    <t xml:space="preserve"> 7.5 </t>
  </si>
  <si>
    <t xml:space="preserve"> 7.6 </t>
  </si>
  <si>
    <t xml:space="preserve"> 92022 </t>
  </si>
  <si>
    <t>INTERRUPTOR SIMPLES (1 MÓDULO) COM 1 TOMADA DE EMBUTIR 2P+T 10 A,  SEM SUPORTE E SEM PLACA - FORNECIMENTO E INSTALAÇÃO. AF_12/2015</t>
  </si>
  <si>
    <t xml:space="preserve"> 7.7 </t>
  </si>
  <si>
    <t xml:space="preserve"> 7.8 </t>
  </si>
  <si>
    <t>Interligações até Quadro Geral - Eletrodutos e Conexões</t>
  </si>
  <si>
    <t xml:space="preserve"> 10549 </t>
  </si>
  <si>
    <t>Encargos Complementares - Servente</t>
  </si>
  <si>
    <t>Provisórios</t>
  </si>
  <si>
    <t>h</t>
  </si>
  <si>
    <t xml:space="preserve"> ED-5634 </t>
  </si>
  <si>
    <t>MÓDULO COM FURO PARA SAÍDA DE FIO Ø 10MM, INCLUSIVE FORNECIMENTO E INSTALAÇÃO, EXCLUSIVE PLACA E SUPORTE</t>
  </si>
  <si>
    <t xml:space="preserve"> ED-5623 </t>
  </si>
  <si>
    <t>PLACA 4"X4" PARA DOIS (2) MÓDULOS, INCLUSIVE FORNECIMENTO E INSTALAÇÃO, EXCLUSIVE SUPORTE E MÓDULO</t>
  </si>
  <si>
    <t xml:space="preserve"> ED-5613 </t>
  </si>
  <si>
    <t>SUPORTE PARA PLACA 4"X4" PARA SEIS (6) MÓDULOS, INCLUSIVE PARAFUSOS PARA FIXAÇÃO, FORNECIMENTO E INSTALAÇÃO, EXCLUSIVE PLACA E MÓDULO</t>
  </si>
  <si>
    <t xml:space="preserve"> 3475 </t>
  </si>
  <si>
    <t xml:space="preserve"> 0008 </t>
  </si>
  <si>
    <t>AJUDANTE</t>
  </si>
  <si>
    <t xml:space="preserve"> 0012 </t>
  </si>
  <si>
    <t xml:space="preserve"> 3949 </t>
  </si>
  <si>
    <t xml:space="preserve"> 8.1 </t>
  </si>
  <si>
    <t xml:space="preserve"> MATED- 12255 </t>
  </si>
  <si>
    <t>DISJUNTOR TRIPOLAR TERMOMAGNÉTICO 10KA, DE 10A A 50A</t>
  </si>
  <si>
    <t xml:space="preserve"> 8.2 </t>
  </si>
  <si>
    <t xml:space="preserve"> MATED- 12256 </t>
  </si>
  <si>
    <t>DISJUNTOR TRIPOLAR TERMOMAGNÉTICO 10KA, DE 60A A 100A</t>
  </si>
  <si>
    <t xml:space="preserve"> 8.3 </t>
  </si>
  <si>
    <t xml:space="preserve"> 004884 </t>
  </si>
  <si>
    <t>DISJUNTOR TRIPOLAR 16A CURVA C STECK</t>
  </si>
  <si>
    <t xml:space="preserve"> 8.4 </t>
  </si>
  <si>
    <t xml:space="preserve"> 8.5 </t>
  </si>
  <si>
    <t xml:space="preserve"> 8.6 </t>
  </si>
  <si>
    <t xml:space="preserve"> 8.7 </t>
  </si>
  <si>
    <t xml:space="preserve"> 8.8 </t>
  </si>
  <si>
    <t>Fusíveis, Disjuntores e Chaves</t>
  </si>
  <si>
    <t xml:space="preserve"> 10552 </t>
  </si>
  <si>
    <t>Encargos Complementares - Eletricista</t>
  </si>
  <si>
    <t xml:space="preserve"> 13274 </t>
  </si>
  <si>
    <t>ELETRICISTA (HORISTA)</t>
  </si>
  <si>
    <t xml:space="preserve"> 8.9 </t>
  </si>
  <si>
    <t xml:space="preserve"> 8.10 </t>
  </si>
  <si>
    <t xml:space="preserve"> 8.11 </t>
  </si>
  <si>
    <t xml:space="preserve"> B.01.000.010115 </t>
  </si>
  <si>
    <t>Eletricista</t>
  </si>
  <si>
    <t xml:space="preserve"> B.01.000.010116 </t>
  </si>
  <si>
    <t>Ajudante eletricista</t>
  </si>
  <si>
    <t xml:space="preserve"> P.26.000.044613 </t>
  </si>
  <si>
    <t>Disjuntor termomagnético, unipolar 127/220V, corrente de 10 até 30A, conforme selo de conformidade do INMETRO da Pial Legrand, Eletromar / Cuttler Hammer, Soprano, Lorenzetti, ABB ou equivalente</t>
  </si>
  <si>
    <t xml:space="preserve"> 8.12 </t>
  </si>
  <si>
    <t xml:space="preserve"> MATED- 12558 </t>
  </si>
  <si>
    <t>DISJUNTOR TRIPOLAR TERMOMAGNÉTICO 5KA, DE 10A A 40A</t>
  </si>
  <si>
    <t xml:space="preserve"> 8.13 </t>
  </si>
  <si>
    <t xml:space="preserve"> 00002394 </t>
  </si>
  <si>
    <t>DISJUNTOR TERMOMAGNETICO TRIPOLAR 800 A / 600 V, TIPO LMXD</t>
  </si>
  <si>
    <t xml:space="preserve"> 00001581 </t>
  </si>
  <si>
    <t>TERMINAL A COMPRESSAO EM COBRE ESTANHADO PARA CABO 120 MM2, 1 FURO E 1 COMPRESSAO, PARA PARAFUSO DE FIXACAO M12</t>
  </si>
  <si>
    <t xml:space="preserve"> 8.14 </t>
  </si>
  <si>
    <t xml:space="preserve"> 00039445 </t>
  </si>
  <si>
    <t>DISPOSITIVO DR, 2 POLOS, SENSIBILIDADE DE 30 MA, CORRENTE DE 25 A, TIPO AC</t>
  </si>
  <si>
    <t xml:space="preserve"> 8.15 </t>
  </si>
  <si>
    <t xml:space="preserve"> 3939 </t>
  </si>
  <si>
    <t>DISPOSITIVO DE PROTEÇÃO CONTRA SURTOS(DPS) 275V DE 8 A 40KA</t>
  </si>
  <si>
    <t>ELETROCALHA</t>
  </si>
  <si>
    <t xml:space="preserve"> 9.2 </t>
  </si>
  <si>
    <t>ASTU - ASSENTAMENTO DE TUBOS E PECAS</t>
  </si>
  <si>
    <t>Pontos de Suprimento de Energia para Computador</t>
  </si>
  <si>
    <t xml:space="preserve"> 10.1 </t>
  </si>
  <si>
    <t xml:space="preserve"> 10.2 </t>
  </si>
  <si>
    <t xml:space="preserve"> 10.3 </t>
  </si>
  <si>
    <t xml:space="preserve"> 10.4 </t>
  </si>
  <si>
    <t xml:space="preserve"> 10.5 </t>
  </si>
  <si>
    <t>Tubos e Conexões de PVC Rígido Soldável</t>
  </si>
  <si>
    <t xml:space="preserve"> 10554 </t>
  </si>
  <si>
    <t>Encargos Complementares - Encanador</t>
  </si>
  <si>
    <t>ENCANADOR OU BOMBEIRO HIDRAULICO (HORISTA)</t>
  </si>
  <si>
    <t xml:space="preserve"> 10.8 </t>
  </si>
  <si>
    <t xml:space="preserve"> 00039132 </t>
  </si>
  <si>
    <t>ABRACADEIRA EM ACO PARA AMARRACAO DE ELETRODUTOS, TIPO D, COM 2" E CUNHA DE FIXACAO</t>
  </si>
  <si>
    <t xml:space="preserve"> 10.9 </t>
  </si>
  <si>
    <t xml:space="preserve"> 10.10 </t>
  </si>
  <si>
    <t xml:space="preserve"> 049524 </t>
  </si>
  <si>
    <t>LAMPADA LED BULBO DIMERIZAVEL 10W, BASE E27, BIVOLT, BRANCO</t>
  </si>
  <si>
    <t xml:space="preserve"> 11.1 </t>
  </si>
  <si>
    <t xml:space="preserve"> 87367 </t>
  </si>
  <si>
    <t>ARGAMASSA TRAÇO 1:1:6 (EM VOLUME DE CIMENTO, CAL E AREIA MÉDIA ÚMIDA) PARA EMBOÇO/MASSA ÚNICA/ASSENTAMENTO DE ALVENARIA DE VEDAÇÃO, PREPARO MANUAL. AF_08/2019</t>
  </si>
  <si>
    <t xml:space="preserve"> 00012039 </t>
  </si>
  <si>
    <t>QUADRO DE DISTRIBUICAO COM BARRAMENTO TRIFASICO, DE EMBUTIR, EM CHAPA DE ACO GALVANIZADO, PARA 24 DISJUNTORES DIN, 100 A</t>
  </si>
  <si>
    <t xml:space="preserve"> 11.2 </t>
  </si>
  <si>
    <t xml:space="preserve"> 10550 </t>
  </si>
  <si>
    <t>Encargos Complementares - Pedreiro</t>
  </si>
  <si>
    <t>PEDREIRO (HORISTA)</t>
  </si>
  <si>
    <t xml:space="preserve"> 12.1.1 </t>
  </si>
  <si>
    <t xml:space="preserve"> 12.1.2 </t>
  </si>
  <si>
    <t xml:space="preserve"> 072256 </t>
  </si>
  <si>
    <t>FIBRA OPTICA - CABO OPTICO MONOMODO AUTOSUSTENTADO SM 9/125 TIGHT SEMI GELEADO ASU80 EXTERNO 12 Fo</t>
  </si>
  <si>
    <t xml:space="preserve"> 009756 </t>
  </si>
  <si>
    <t>CONDULETE ALUMINIO "X" 1" COM TAMPA</t>
  </si>
  <si>
    <t xml:space="preserve"> 031612 </t>
  </si>
  <si>
    <t>CONDULETE ALUMINIO "LB" 1" COM TAMPA</t>
  </si>
  <si>
    <t xml:space="preserve"> 031169 </t>
  </si>
  <si>
    <t>CONDULETE ALUMINIO "T" 1" SEM TAMPA</t>
  </si>
  <si>
    <t xml:space="preserve"> 043712 </t>
  </si>
  <si>
    <t>TAMPA CEGA QUADRADA BRANCA 150mm</t>
  </si>
  <si>
    <t>Interligações até Quadro Geral - Fios e Cabos</t>
  </si>
  <si>
    <t xml:space="preserve"> 95541 </t>
  </si>
  <si>
    <t>FIXAÇÃO UTILIZANDO PARAFUSO E BUCHA DE NYLON, SOMENTE MÃO DE OBRA. AF_10/2016</t>
  </si>
  <si>
    <t xml:space="preserve"> 00040552 </t>
  </si>
  <si>
    <t>PARAFUSO, AUTO ATARRACHANTE, CABECA CHATA, FENDA SIMPLES, 1/4 (6,35 MM) X 25 MM</t>
  </si>
  <si>
    <t>CENTO</t>
  </si>
  <si>
    <t xml:space="preserve"> 3821 </t>
  </si>
  <si>
    <t>PARAFUSO SEXTAVADO CABEÇA LENTILHA D = 1/4" X 5/8"</t>
  </si>
  <si>
    <t>Pontos de Suprimento de Telefone</t>
  </si>
  <si>
    <t xml:space="preserve"> 13323 </t>
  </si>
  <si>
    <t xml:space="preserve"> 13413 </t>
  </si>
  <si>
    <t>Pontos de Suprimento de Lógica</t>
  </si>
  <si>
    <t xml:space="preserve"> 3444 </t>
  </si>
  <si>
    <t xml:space="preserve">TAMPA CEGA PARA CONDULETE DE PVC </t>
  </si>
  <si>
    <t xml:space="preserve"> 3479 </t>
  </si>
  <si>
    <t xml:space="preserve"> I-0417 </t>
  </si>
  <si>
    <t>BANDEJA TELESCÓPICA 1 U P/ RACK</t>
  </si>
  <si>
    <t xml:space="preserve"> 3910 </t>
  </si>
  <si>
    <t xml:space="preserve">PATCH CORD COMPRIMENTO DE 2,5 m - CAT.6 </t>
  </si>
  <si>
    <t xml:space="preserve"> P.13.000.050036 </t>
  </si>
  <si>
    <t>Conector RJ-45, fêmea, categoria 6, ref. 50491 fabricação Policom, 6150 47 Pial Plus fabricação Legrand, ou equivalente</t>
  </si>
  <si>
    <t>Terminal 38 x 38 mm para eletrocalha metalica</t>
  </si>
  <si>
    <t xml:space="preserve"> 12.8.2</t>
  </si>
  <si>
    <t xml:space="preserve"> 12.8.3</t>
  </si>
  <si>
    <t xml:space="preserve"> 12.8.4</t>
  </si>
  <si>
    <t xml:space="preserve"> 12.8.6</t>
  </si>
  <si>
    <t xml:space="preserve"> 9524 </t>
  </si>
  <si>
    <t>Tala plana perfurada 50mm para eletrocalha metálica (ref.: mopa ou similar) - Rev 01</t>
  </si>
  <si>
    <t xml:space="preserve"> 9988 </t>
  </si>
  <si>
    <t xml:space="preserve"> 12.9.12</t>
  </si>
  <si>
    <t xml:space="preserve"> SETOP ADAPT. CAB-RACK-025 </t>
  </si>
  <si>
    <t>PAINEL DE FECHAMENTO DE 1U PARA RACK 19"</t>
  </si>
  <si>
    <t xml:space="preserve"> 12.10.11</t>
  </si>
  <si>
    <t xml:space="preserve"> 12.6.2</t>
  </si>
  <si>
    <t xml:space="preserve"> SBC.ADAPTADO.062445 </t>
  </si>
  <si>
    <t>CAIXA PVC OCTOGONAL 3/4</t>
  </si>
  <si>
    <t>COTAÇÃO - PREÇO DE MERCADO</t>
  </si>
  <si>
    <t>Orçamento:</t>
  </si>
  <si>
    <t>TRIBUNAL DE JUSTIÇA DO ESTADO DE GOIÁS</t>
  </si>
  <si>
    <t>Local:</t>
  </si>
  <si>
    <t>Avenida Olinda esq. com Rua PL3, Quadra G,Lote 4</t>
  </si>
  <si>
    <t>FONTE</t>
  </si>
  <si>
    <t>UNIDADE</t>
  </si>
  <si>
    <t>MEDIA</t>
  </si>
  <si>
    <t>INDICE DE RETROAÇÃO</t>
  </si>
  <si>
    <t>COTAÇÃO.</t>
  </si>
  <si>
    <t>COTAÇÃO 01</t>
  </si>
  <si>
    <t xml:space="preserve">EMPRESA </t>
  </si>
  <si>
    <t>NOME EMPRESA</t>
  </si>
  <si>
    <t>COTAÇÃO</t>
  </si>
  <si>
    <t>DATA COTAÇÃO</t>
  </si>
  <si>
    <t>EMPRESA 01</t>
  </si>
  <si>
    <t>EMPRESA 02</t>
  </si>
  <si>
    <t>EMPRESA 03</t>
  </si>
  <si>
    <t>1</t>
  </si>
  <si>
    <t>Banco de capacitores automático (com proteção, comando e capacitores)</t>
  </si>
  <si>
    <t>Startek Automação Industrial</t>
  </si>
  <si>
    <t xml:space="preserve">Engeletrica </t>
  </si>
  <si>
    <t>11.4</t>
  </si>
  <si>
    <t xml:space="preserve"> FDE.ADAPT.09.80.078 </t>
  </si>
  <si>
    <t>Banco de capacitores automático 25kvar (com proteção, comando e capacitores)</t>
  </si>
  <si>
    <t xml:space="preserve"> SBC.ADAPT.06512 </t>
  </si>
  <si>
    <t>Nobreak de rack 1500VA</t>
  </si>
  <si>
    <t xml:space="preserve"> 91963 </t>
  </si>
  <si>
    <t>INTERRUPTOR SIMPLES (1 MÓDULO) COM INTERRUPTOR PARALELO (2 MÓDULOS), 10A/250V, INCLUINDO SUPORTE E PLACA - FORNECIMENTO E INSTALAÇÃO. AF_12/2015</t>
  </si>
  <si>
    <t xml:space="preserve"> 91955 </t>
  </si>
  <si>
    <t>INTERRUPTOR PARALELO (1 MÓDULO), 10A/250V, INCLUINDO SUPORTE E PLACA - FORNECIMENTO E INSTALAÇÃO. AF_12/2015</t>
  </si>
  <si>
    <t xml:space="preserve"> 38.01.060 </t>
  </si>
  <si>
    <t>Eletroduto de PVC rígido roscável de 1´ - com acessórios</t>
  </si>
  <si>
    <t xml:space="preserve"> SINAPI.ADAPT.101883 </t>
  </si>
  <si>
    <t>Quadro elétrico de distribuição, metálico, de sobrepor, ensaiado e certificado (conjunto verificado) conforme a norma NBR-IEC 61439/2016.  Dimensões (C x P x A): 595 x 198 x 600 mm Capacidade: 72 módulos (03 fileiras x 24 módulos)</t>
  </si>
  <si>
    <t xml:space="preserve"> SINAPI.ADAPT.1101879 </t>
  </si>
  <si>
    <t>Quadro elétrico de distribuição ensaiado e certificado (conjunto verificado) conforme a norma NBR-IEC 61439/2016  Dimensões (C x P x A): 595 x 198 x 750 mm Capacidade: 96 módulos (04 fileiras x 24 módulos)</t>
  </si>
  <si>
    <t>11.5</t>
  </si>
  <si>
    <t>11.6</t>
  </si>
  <si>
    <t xml:space="preserve"> 2.6</t>
  </si>
  <si>
    <t xml:space="preserve"> COMP-0003 </t>
  </si>
  <si>
    <t>ANOTAÇÃO DE RESPONSABILIDADE TÉCNICA (ART)</t>
  </si>
  <si>
    <t>Composições Principais</t>
  </si>
  <si>
    <t xml:space="preserve"> 2.6 </t>
  </si>
  <si>
    <t xml:space="preserve"> I-00047 </t>
  </si>
  <si>
    <t>Taxas</t>
  </si>
  <si>
    <t>DEMOLICOES</t>
  </si>
  <si>
    <t>LIMPEZA</t>
  </si>
  <si>
    <t>INSTALACOES ELETRICAS - LUMINARIAS</t>
  </si>
  <si>
    <t>INSTALACOES HIDRAULICAS - INCENDIO</t>
  </si>
  <si>
    <t>ATERRAMENTO</t>
  </si>
  <si>
    <t>INSTALACOES ELETRICAS - QUADROS</t>
  </si>
  <si>
    <t>INSTALACOES ELETRICAS - LEITOS E CABOS</t>
  </si>
  <si>
    <t>INSTALACOES ELETRICAS - SONORIZACAO</t>
  </si>
  <si>
    <t>INSTALACOES DE TELEFONE-LOGICA-CFTV-CATV</t>
  </si>
  <si>
    <t>INSTALACOES ELETRICAS - SINALIZACAO</t>
  </si>
  <si>
    <t>INSTALACOES ELETRICAS - DETECCAO DE INCENDIO</t>
  </si>
  <si>
    <t>INSTALACOES HIDRAULICAS - ESGOTO</t>
  </si>
  <si>
    <t xml:space="preserve"> 10403 </t>
  </si>
  <si>
    <t>Terminal 38 x 38 mm para eletrocalha perfurada metalica</t>
  </si>
  <si>
    <t>REVESTIMENTOS INTERNOS</t>
  </si>
  <si>
    <t>CAB</t>
  </si>
  <si>
    <t xml:space="preserve"> MATED- 12111 </t>
  </si>
  <si>
    <t>TAMPA CEGA DE 1U PARA RACK 19"</t>
  </si>
  <si>
    <t xml:space="preserve"> I-2243 </t>
  </si>
  <si>
    <t>PAINEL DE FECHAMENTO RETO RACK 1U 19''</t>
  </si>
  <si>
    <t xml:space="preserve"> 003555 </t>
  </si>
  <si>
    <t>CAIXA PARA PISO BAIXA 4"x4" 1/2" TRAMONTINA</t>
  </si>
  <si>
    <t xml:space="preserve"> I-OBSERVAÇÃO.FDE.ADAPT.09.80.078 </t>
  </si>
  <si>
    <t xml:space="preserve"> 91962 </t>
  </si>
  <si>
    <t>INTERRUPTOR SIMPLES (1 MÓDULO) COM INTERRUPTOR PARALELO (2 MÓDULOS), 10A/250V, SEM SUPORTE E SEM PLACA - FORNECIMENTO E INSTALAÇÃO. AF_12/2015</t>
  </si>
  <si>
    <t xml:space="preserve"> 91954 </t>
  </si>
  <si>
    <t>INTERRUPTOR PARALELO (1 MÓDULO), 10A/250V, SEM SUPORTE E SEM PLACA - FORNECIMENTO E INSTALAÇÃO. AF_12/2015</t>
  </si>
  <si>
    <t xml:space="preserve"> 00013395 </t>
  </si>
  <si>
    <t>QUADRO DE DISTRIBUICAO COM BARRAMENTO TRIFASICO, DE EMBUTIR, EM CHAPA DE ACO GALVANIZADO, PARA 18 DISJUNTORES DIN, 100 A, INCLUINDO BARRAMENTO</t>
  </si>
  <si>
    <t xml:space="preserve"> P.02.000.042503 </t>
  </si>
  <si>
    <t>Eletroduto de PVC rígido roscável de 32mm (1´)</t>
  </si>
  <si>
    <t xml:space="preserve"> I9904 </t>
  </si>
  <si>
    <t>SEINFRA</t>
  </si>
  <si>
    <t>NOBREAK 700VA 220V</t>
  </si>
  <si>
    <t>CHOR - CUSTOS HORÁRIOS DE MÁQUINAS E EQUIPAMENTOS</t>
  </si>
  <si>
    <t>CHP</t>
  </si>
  <si>
    <t>CHI</t>
  </si>
  <si>
    <t xml:space="preserve"> 97665 </t>
  </si>
  <si>
    <t>REMOÇÃO DE LUMINÁRIAS, DE FORMA MANUAL, SEM REAPROVEITAMENTO. AF_12/2017</t>
  </si>
  <si>
    <t xml:space="preserve"> 04.20.040 </t>
  </si>
  <si>
    <t>Remoção de lâmpada</t>
  </si>
  <si>
    <t xml:space="preserve"> 97660 </t>
  </si>
  <si>
    <t>REMOÇÃO DE INTERRUPTORES/TOMADAS ELÉTRICAS, DE FORMA MANUAL, SEM REAPROVEITAMENTO. AF_12/2017</t>
  </si>
  <si>
    <t xml:space="preserve"> 7224 </t>
  </si>
  <si>
    <t>Remoção de quadro elétrico de embutir ou sobrepor</t>
  </si>
  <si>
    <t>REMOÇÃO DE LÂMPADA</t>
  </si>
  <si>
    <t>REMOÇÃO DE QUADRO ELÉTRICO DE EMBUTIR OU SOBREPOR</t>
  </si>
  <si>
    <t xml:space="preserve"> 3.3</t>
  </si>
  <si>
    <t xml:space="preserve"> 3.4</t>
  </si>
  <si>
    <t xml:space="preserve"> 3.5</t>
  </si>
  <si>
    <t xml:space="preserve"> 3.6</t>
  </si>
  <si>
    <t xml:space="preserve"> 3.7</t>
  </si>
  <si>
    <t xml:space="preserve"> 3.8</t>
  </si>
  <si>
    <t>Quadro elétrico de distribuição, metálico, de embutir, ensaiado e certificado (conjunto verificado) conforme a norma NBR-IEC 61439/2016.  Dimensões (C x P x A): 595 x 198 x 600 mm Capacidade: 72 módulos (03 fileiras x 24 módulos)</t>
  </si>
  <si>
    <t xml:space="preserve"> 059252 </t>
  </si>
  <si>
    <t>SWITCH WIRED TP - LINK GIGABIT 24 PORTAS TL - SG1024D.</t>
  </si>
  <si>
    <t xml:space="preserve"> 12.9.7</t>
  </si>
  <si>
    <t xml:space="preserve"> SINAPI.ADAPT.101879 </t>
  </si>
  <si>
    <t>Quadro elétrico de distribuição ensaiado e certificado (conjunto verificado) conforme a norma NBR-IEC 61439/2016  Dimensões (C x P x A): 595 x 198 x 750 mm Capacidade: 24 módulos (01 fileiras x 24 módulos)</t>
  </si>
  <si>
    <t>CABO DE COBRE FLEXÍVEL ISOLADO, 6 MM², ANTI-CHAMA 0,6/1,0 KV, PARA CIRCUITOS TERMINAIS - FORNECIMENTO E INSTALAÇÃO. AF_12/2015</t>
  </si>
  <si>
    <t xml:space="preserve"> 12.10.7</t>
  </si>
  <si>
    <t>SERP - SERVIÇOS PRELIMINARES</t>
  </si>
  <si>
    <t>Demolições / Remoções</t>
  </si>
  <si>
    <t xml:space="preserve"> 00039756 </t>
  </si>
  <si>
    <t>QUADRO DE DISTRIBUICAO COM BARRAMENTO TRIFASICO, DE SOBREPOR, EM CHAPA DE ACO GALVANIZADO, PARA 12 DISJUNTORES DIN, 100 A</t>
  </si>
  <si>
    <t xml:space="preserve"> 047589 </t>
  </si>
  <si>
    <t>RACK - SWITCH WIRED TP - LINK GIGABIT 24 PORTAS TL - SG1024D</t>
  </si>
  <si>
    <t xml:space="preserve"> 91931 </t>
  </si>
  <si>
    <t xml:space="preserve"> 00000994 </t>
  </si>
  <si>
    <t>CABO DE COBRE, FLEXIVEL, CLASSE 4 OU 5, ISOLACAO EM PVC/A, ANTICHAMA BWF-B, COBERTURA PVC-ST1, ANTICHAMA BWF-B, 1 CONDUTOR, 0,6/1 KV, SECAO NOMINAL 6 MM2</t>
  </si>
  <si>
    <t xml:space="preserve"> 00021127 </t>
  </si>
  <si>
    <t>FITA ISOLANTE ADESIVA ANTICHAMA, USO ATE 750 V, EM ROLO DE 19 MM X 5 M</t>
  </si>
  <si>
    <t>SIURB</t>
  </si>
  <si>
    <t>Edificações</t>
  </si>
  <si>
    <t xml:space="preserve"> 2044 </t>
  </si>
  <si>
    <t>AJUDANTE DE ELETRICISTA (SGSP)</t>
  </si>
  <si>
    <t xml:space="preserve"> 2041 </t>
  </si>
  <si>
    <t>ELETRICISTA (SGSP)</t>
  </si>
  <si>
    <t xml:space="preserve"> 000100 </t>
  </si>
  <si>
    <t>AREIA GROSSA LAVADA</t>
  </si>
  <si>
    <t xml:space="preserve"> 000050 </t>
  </si>
  <si>
    <t>CIMENTO PORTLAND CP III 32RS NBR 11578 (quilo)</t>
  </si>
  <si>
    <t xml:space="preserve"> 3.9</t>
  </si>
  <si>
    <t xml:space="preserve"> 5.2.5</t>
  </si>
  <si>
    <t xml:space="preserve"> 5.2.6</t>
  </si>
  <si>
    <t>TOMADA HEXAGONAL 2P + T - 10A - 250V - NCLUINDO SUPORTE E PLACA</t>
  </si>
  <si>
    <t>TOMADA HEXAGONAL DUPLA 2P + T - 10A - 250V - NCLUINDO SUPORTE E PLACA</t>
  </si>
  <si>
    <t xml:space="preserve"> SBC.ADAPT.60504 </t>
  </si>
  <si>
    <t>CANALETA DE ALUMÍNIO 73MMX25MM (ADAPTADO DE SBC 059124)</t>
  </si>
  <si>
    <t>LAMPADA LED BULBO DIMERIZVEL 12W, BASE E27, BIVOLT, BRANCO</t>
  </si>
  <si>
    <t xml:space="preserve"> 2450 </t>
  </si>
  <si>
    <t>Limpeza geral</t>
  </si>
  <si>
    <t xml:space="preserve"> 15.018.0265-A </t>
  </si>
  <si>
    <t>EMOP</t>
  </si>
  <si>
    <t>CAIXA DE PASSAGEM DE SOBREPOR,EM ACO,COM TAMPA PARAFUSADA,DE 25X25CM.FORNECIMENTO E COLOCACAO</t>
  </si>
  <si>
    <t xml:space="preserve"> 90447 </t>
  </si>
  <si>
    <t>RASGO EM ALVENARIA PARA ELETRODUTOS COM DIAMETROS MENORES OU IGUAIS A 40 MM. AF_05/2015</t>
  </si>
  <si>
    <t xml:space="preserve"> 00039028 </t>
  </si>
  <si>
    <t>PERFILADO PERFURADO SIMPLES 38 X 38 MM, CHAPA 22</t>
  </si>
  <si>
    <t xml:space="preserve"> 91864 </t>
  </si>
  <si>
    <t>ELETRODUTO RÍGIDO ROSCÁVEL, PVC, DN 32 MM (1"), PARA CIRCUITOS TERMINAIS, INSTALADO EM FORRO - FORNECIMENTO E INSTALAÇÃO. AF_12/2015</t>
  </si>
  <si>
    <t xml:space="preserve"> 91863 </t>
  </si>
  <si>
    <t>ELETRODUTO RÍGIDO ROSCÁVEL, PVC, DN 25 MM (3/4"), PARA CIRCUITOS TERMINAIS, INSTALADO EM FORRO - FORNECIMENTO E INSTALAÇÃO. AF_12/2015</t>
  </si>
  <si>
    <t xml:space="preserve"> 93008 </t>
  </si>
  <si>
    <t>ELETRODUTO RÍGIDO ROSCÁVEL, PVC, DN 50 MM (1 1/2"), PARA REDE ENTERRADA DE DISTRIBUIÇÃO DE ENERGIA ELÉTRICA - FORNECIMENTO E INSTALAÇÃO. AF_12/2021</t>
  </si>
  <si>
    <t xml:space="preserve"> 93009 </t>
  </si>
  <si>
    <t>ELETRODUTO RÍGIDO ROSCÁVEL, PVC, DN 60 MM (2"), PARA REDE ENTERRADA DE DISTRIBUIÇÃO DE ENERGIA ELÉTRICA - FORNECIMENTO E INSTALAÇÃO. AF_12/2021</t>
  </si>
  <si>
    <t xml:space="preserve"> 93012 </t>
  </si>
  <si>
    <t>ELETRODUTO RÍGIDO ROSCÁVEL, PVC, DN 110 MM (4"), PARA REDE ENTERRADA DE DISTRIBUIÇÃO DE ENERGIA ELÉTRICA - FORNECIMENTO E INSTALAÇÃO. AF_12/2021</t>
  </si>
  <si>
    <t xml:space="preserve"> SINAPI.ADPT.97661 </t>
  </si>
  <si>
    <t>REMOÇÃO DE CABO ELETRICOS E CANALETA DE PVC</t>
  </si>
  <si>
    <t xml:space="preserve"> 090953 </t>
  </si>
  <si>
    <t>LUMINÁRIA COMERCIAL DE EMBUTIR COM DIFUSOR TRANSPARENTE OU FOSCO PARA 2 LÂMPADAS TUBULARES DE LED 18/20W - COMPLETA</t>
  </si>
  <si>
    <t xml:space="preserve"> 100903 </t>
  </si>
  <si>
    <t>LÂMPADA TUBULAR LED DE 18/20 W, BASE G13 - FORNECIMENTO E INSTALAÇÃO. AF_02/2020_P</t>
  </si>
  <si>
    <t xml:space="preserve"> 4.2</t>
  </si>
  <si>
    <t xml:space="preserve"> 120108 </t>
  </si>
  <si>
    <t>FORRO - PAINEL WALL 2,50x1,20 40mm ETERNIT</t>
  </si>
  <si>
    <t xml:space="preserve"> 97641 </t>
  </si>
  <si>
    <t>REMOÇÃO DE FORRO DE GESSO, DE FORMA MANUAL, SEM REAPROVEITAMENTO. AF_12/2017</t>
  </si>
  <si>
    <t xml:space="preserve"> 3.10</t>
  </si>
  <si>
    <t xml:space="preserve"> 10029 </t>
  </si>
  <si>
    <t>Impermeabilização c/ manta asfáltica aluminizada 3mm, estruturada com não-tecido de poliéster, inclusive aplicação de 1 demão de primer</t>
  </si>
  <si>
    <t xml:space="preserve"> 88492 </t>
  </si>
  <si>
    <t>APLICAÇÃO MECÂNICA DE PINTURA COM TINTA LÁTEX ACRÍLICA EM TETO, DUAS DEMÃOS. AF_06/2014</t>
  </si>
  <si>
    <t xml:space="preserve"> 4.3</t>
  </si>
  <si>
    <t xml:space="preserve"> 4.4</t>
  </si>
  <si>
    <t xml:space="preserve"> 4.5</t>
  </si>
  <si>
    <t xml:space="preserve"> 4.6</t>
  </si>
  <si>
    <t xml:space="preserve"> 96113 </t>
  </si>
  <si>
    <t>FORRO EM PLACAS DE GESSO, PARA AMBIENTES COMERCIAIS. AF_05/2017_P</t>
  </si>
  <si>
    <t xml:space="preserve"> 88497 </t>
  </si>
  <si>
    <t>APLICAÇÃO E LIXAMENTO DE MASSA LÁTEX EM PAREDES, DUAS DEMÃOS. AF_06/2014</t>
  </si>
  <si>
    <t>0,80*0,60</t>
  </si>
  <si>
    <t xml:space="preserve">DEMOLIÇÃO DE PISO </t>
  </si>
  <si>
    <t xml:space="preserve">ESCAVÇÃO </t>
  </si>
  <si>
    <t>10.6</t>
  </si>
  <si>
    <t>10.7</t>
  </si>
  <si>
    <t xml:space="preserve"> 5.1.2</t>
  </si>
  <si>
    <t xml:space="preserve"> 5.1.3</t>
  </si>
  <si>
    <t xml:space="preserve"> 5.1.4</t>
  </si>
  <si>
    <t xml:space="preserve"> 5.1.5</t>
  </si>
  <si>
    <t xml:space="preserve"> 5.1.6</t>
  </si>
  <si>
    <t xml:space="preserve"> 5.1.7</t>
  </si>
  <si>
    <t xml:space="preserve"> 5.2.2</t>
  </si>
  <si>
    <t xml:space="preserve"> 5.2.3</t>
  </si>
  <si>
    <t xml:space="preserve"> 5.2.4</t>
  </si>
  <si>
    <t>7.1</t>
  </si>
  <si>
    <t>7.2</t>
  </si>
  <si>
    <t>7.3</t>
  </si>
  <si>
    <t>7.9</t>
  </si>
  <si>
    <t>7.10</t>
  </si>
  <si>
    <t>9.1</t>
  </si>
  <si>
    <t>9.2</t>
  </si>
  <si>
    <t>9.3</t>
  </si>
  <si>
    <t>11.2</t>
  </si>
  <si>
    <t>11.3</t>
  </si>
  <si>
    <t xml:space="preserve"> 12.4.1</t>
  </si>
  <si>
    <t xml:space="preserve"> 12.4.2</t>
  </si>
  <si>
    <t xml:space="preserve"> 12.4.3</t>
  </si>
  <si>
    <t xml:space="preserve"> 12.4.4</t>
  </si>
  <si>
    <t xml:space="preserve"> 12.4.5</t>
  </si>
  <si>
    <t xml:space="preserve"> 12.4.6</t>
  </si>
  <si>
    <t xml:space="preserve"> 12.4.7</t>
  </si>
  <si>
    <t xml:space="preserve"> 12.4.8</t>
  </si>
  <si>
    <t xml:space="preserve"> 12.4.9</t>
  </si>
  <si>
    <t xml:space="preserve"> 12.7.2</t>
  </si>
  <si>
    <t xml:space="preserve"> 12.8.5</t>
  </si>
  <si>
    <t xml:space="preserve"> 12.9.2</t>
  </si>
  <si>
    <t xml:space="preserve"> 12.9.3</t>
  </si>
  <si>
    <t xml:space="preserve"> 12.9.4</t>
  </si>
  <si>
    <t xml:space="preserve"> 12.9.5</t>
  </si>
  <si>
    <t xml:space="preserve"> 12.9.6</t>
  </si>
  <si>
    <t xml:space="preserve"> 12.9.8</t>
  </si>
  <si>
    <t xml:space="preserve"> 12.9.9</t>
  </si>
  <si>
    <t xml:space="preserve"> 12.9.10</t>
  </si>
  <si>
    <t xml:space="preserve"> 12.9.11</t>
  </si>
  <si>
    <t xml:space="preserve"> 12.10.2</t>
  </si>
  <si>
    <t xml:space="preserve"> 12.10.3</t>
  </si>
  <si>
    <t xml:space="preserve"> 12.10.4</t>
  </si>
  <si>
    <t xml:space="preserve"> 12.10.5</t>
  </si>
  <si>
    <t xml:space="preserve"> 12.10.6</t>
  </si>
  <si>
    <t xml:space="preserve"> 12.10.8</t>
  </si>
  <si>
    <t xml:space="preserve"> 12.10.9</t>
  </si>
  <si>
    <t xml:space="preserve"> 12.10.10</t>
  </si>
  <si>
    <t>12.5</t>
  </si>
  <si>
    <t>12.10</t>
  </si>
  <si>
    <t>12.11</t>
  </si>
  <si>
    <t xml:space="preserve"> 12.5.2</t>
  </si>
  <si>
    <t xml:space="preserve"> 12.5.3</t>
  </si>
  <si>
    <t xml:space="preserve"> 12.7.3</t>
  </si>
  <si>
    <t xml:space="preserve"> 12.7.4</t>
  </si>
  <si>
    <t xml:space="preserve"> 12.7.5</t>
  </si>
  <si>
    <t xml:space="preserve"> 12.8.7</t>
  </si>
  <si>
    <t xml:space="preserve"> 12.8.8</t>
  </si>
  <si>
    <t xml:space="preserve"> 12.8.9</t>
  </si>
  <si>
    <t xml:space="preserve"> 12.8.10</t>
  </si>
  <si>
    <t xml:space="preserve"> 12.8.11</t>
  </si>
  <si>
    <t xml:space="preserve"> 12.8.12</t>
  </si>
  <si>
    <t xml:space="preserve"> 93358 </t>
  </si>
  <si>
    <t>ESCAVAÇÃO MANUAL DE VALA COM PROFUNDIDADE MENOR OU IGUAL A 1,30 M. AF_02/2021</t>
  </si>
  <si>
    <t xml:space="preserve"> 96995 </t>
  </si>
  <si>
    <t>REATERRO MANUAL APILOADO COM SOQUETE. AF_10/2017</t>
  </si>
  <si>
    <t xml:space="preserve"> 3240 </t>
  </si>
  <si>
    <t>Demolição de piso de alta resistência</t>
  </si>
  <si>
    <t xml:space="preserve"> 040407 </t>
  </si>
  <si>
    <t>PISO DE CONCRETO SIMPLES ESPESSURA 15cm DESEMPENADO</t>
  </si>
  <si>
    <t>6.4</t>
  </si>
  <si>
    <t xml:space="preserve"> 3.11</t>
  </si>
  <si>
    <t xml:space="preserve"> 3.12</t>
  </si>
  <si>
    <t xml:space="preserve"> 201032 </t>
  </si>
  <si>
    <t>GRAMA-SUBSTITUICAO DE GRAMADO COM RETIRADA ATE 20,0m</t>
  </si>
  <si>
    <t xml:space="preserve"> 3.13</t>
  </si>
  <si>
    <t xml:space="preserve"> 103946 </t>
  </si>
  <si>
    <t>PLANTIO DE GRAMA ESMERALDA OU SÃO CARLOS OU CURITIBANA, EM PLACAS. AF_05/2022</t>
  </si>
  <si>
    <t>6.5</t>
  </si>
  <si>
    <t xml:space="preserve"> 3.3 </t>
  </si>
  <si>
    <t xml:space="preserve"> 3.4 </t>
  </si>
  <si>
    <t xml:space="preserve"> 3.5 </t>
  </si>
  <si>
    <t xml:space="preserve"> 3.6 </t>
  </si>
  <si>
    <t xml:space="preserve"> 3.7 </t>
  </si>
  <si>
    <t xml:space="preserve"> 3.8 </t>
  </si>
  <si>
    <t xml:space="preserve"> 3.9 </t>
  </si>
  <si>
    <t xml:space="preserve"> 88269 </t>
  </si>
  <si>
    <t>GESSEIRO COM ENCARGOS COMPLEMENTARES</t>
  </si>
  <si>
    <t xml:space="preserve"> 3.10 </t>
  </si>
  <si>
    <t>MOVT - MOVIMENTO DE TERRA</t>
  </si>
  <si>
    <t xml:space="preserve"> 3.11 </t>
  </si>
  <si>
    <t xml:space="preserve"> 3.12 </t>
  </si>
  <si>
    <t>Conversão InfoWOrca</t>
  </si>
  <si>
    <t xml:space="preserve"> 3.13 </t>
  </si>
  <si>
    <t>AJARDINAMENTOS</t>
  </si>
  <si>
    <t xml:space="preserve"> 88441 </t>
  </si>
  <si>
    <t>JARDINEIRO COM ENCARGOS COMPLEMENTARES</t>
  </si>
  <si>
    <t xml:space="preserve"> 4.2 </t>
  </si>
  <si>
    <t xml:space="preserve"> 88239 </t>
  </si>
  <si>
    <t>AJUDANTE DE CARPINTEIRO COM ENCARGOS COMPLEMENTARES</t>
  </si>
  <si>
    <t xml:space="preserve"> 028100 </t>
  </si>
  <si>
    <t xml:space="preserve"> 4.3 </t>
  </si>
  <si>
    <t>Impermeabilização</t>
  </si>
  <si>
    <t xml:space="preserve"> 10601 </t>
  </si>
  <si>
    <t>Encargos Complementares - Impermeabilizador</t>
  </si>
  <si>
    <t xml:space="preserve"> 00012873 </t>
  </si>
  <si>
    <t>IMPERMEABILIZADOR (HORISTA)</t>
  </si>
  <si>
    <t xml:space="preserve"> 00011621 </t>
  </si>
  <si>
    <t>MANTA ASFALTICA ELASTOMERICA EM POLIESTER ALUMINIZADA 3 MM, TIPO III, CLASSE B (NBR 9952)</t>
  </si>
  <si>
    <t xml:space="preserve"> 00000511 </t>
  </si>
  <si>
    <t>PRIMER PARA MANTA ASFALTICA A BASE DE ASFALTO MODIFICADO DILUIDO EM SOLVENTE, APLICACAO A FRIO</t>
  </si>
  <si>
    <t>L</t>
  </si>
  <si>
    <t xml:space="preserve"> 4.4 </t>
  </si>
  <si>
    <t>REVE - REVESTIMENTO E TRATAMENTO DE SUPERFÍCIES</t>
  </si>
  <si>
    <t xml:space="preserve"> 00000345 </t>
  </si>
  <si>
    <t>ARAME GALVANIZADO 18 BWG, D = 1,24MM (0,009 KG/M)</t>
  </si>
  <si>
    <t xml:space="preserve"> 00003315 </t>
  </si>
  <si>
    <t>GESSO EM PO PARA REVESTIMENTOS/MOLDURAS/SANCAS E USO GERAL</t>
  </si>
  <si>
    <t xml:space="preserve"> 00040547 </t>
  </si>
  <si>
    <t>PARAFUSO ZINCADO, AUTOBROCANTE, FLANGEADO, 4,2 MM X 19 MM</t>
  </si>
  <si>
    <t xml:space="preserve"> 00004812 </t>
  </si>
  <si>
    <t>PLACA DE GESSO PARA FORRO, *60 X 60* CM, ESPESSURA DE 12 MM (SEM COLOCACAO)</t>
  </si>
  <si>
    <t xml:space="preserve"> 00020250 </t>
  </si>
  <si>
    <t>SISAL EM FIBRA</t>
  </si>
  <si>
    <t xml:space="preserve"> 4.5 </t>
  </si>
  <si>
    <t>PINT - PINTURAS</t>
  </si>
  <si>
    <t xml:space="preserve"> 88310 </t>
  </si>
  <si>
    <t>PINTOR COM ENCARGOS COMPLEMENTARES</t>
  </si>
  <si>
    <t xml:space="preserve"> 00003767 </t>
  </si>
  <si>
    <t>LIXA EM FOLHA PARA PAREDE OU MADEIRA, NUMERO 120, COR VERMELHA</t>
  </si>
  <si>
    <t xml:space="preserve"> 00043626 </t>
  </si>
  <si>
    <t>MASSA CORRIDA PARA SUPERFICIES DE AMBIENTES INTERNOS</t>
  </si>
  <si>
    <t xml:space="preserve"> 4.6 </t>
  </si>
  <si>
    <t xml:space="preserve"> 95218 </t>
  </si>
  <si>
    <t>PULVERIZADOR DE TINTA ELÉTRICO/MÁQUINA DE PINTURA AIRLESS, VAZÃO 2 L/MIN - CHP DIURNO. AF_08/2016</t>
  </si>
  <si>
    <t xml:space="preserve"> 95219 </t>
  </si>
  <si>
    <t>PULVERIZADOR DE TINTA ELÉTRICO/MÁQUINA DE PINTURA AIRLESS, VAZÃO 2 L/MIN - CHI DIURNO. AF_08/2016</t>
  </si>
  <si>
    <t xml:space="preserve"> 00007356 </t>
  </si>
  <si>
    <t>TINTA LATEX ACRILICA PREMIUM, COR BRANCO FOSCO</t>
  </si>
  <si>
    <t xml:space="preserve"> 5.2.6 </t>
  </si>
  <si>
    <t xml:space="preserve"> 6.4 </t>
  </si>
  <si>
    <t>ESTRUTURA</t>
  </si>
  <si>
    <t xml:space="preserve"> 88304 </t>
  </si>
  <si>
    <t>OPERADOR DE USINA DE ASFALTO, DE SOLOS OU DE CONCRETO COM ENCARGOS COMPLEMENTARES</t>
  </si>
  <si>
    <t xml:space="preserve"> 008766 </t>
  </si>
  <si>
    <t>PEDRA BRITADA #1</t>
  </si>
  <si>
    <t xml:space="preserve"> 008767 </t>
  </si>
  <si>
    <t>PEDRA BRITADA #2</t>
  </si>
  <si>
    <t xml:space="preserve"> 6.5 </t>
  </si>
  <si>
    <t>URBA - URBANIZAÇÃO</t>
  </si>
  <si>
    <t xml:space="preserve"> 00003322 </t>
  </si>
  <si>
    <t>GRAMA ESMERALDA OU SAO CARLOS OU CURITIBANA, EM PLACAS, SEM PLANTIO</t>
  </si>
  <si>
    <t xml:space="preserve"> 7.9 </t>
  </si>
  <si>
    <t xml:space="preserve"> 7.10 </t>
  </si>
  <si>
    <t xml:space="preserve"> 91170 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</si>
  <si>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</si>
  <si>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00002685 </t>
  </si>
  <si>
    <t>ELETRODUTO DE PVC RIGIDO ROSCAVEL DE 1 ", SEM LUVA</t>
  </si>
  <si>
    <t xml:space="preserve"> 00002674 </t>
  </si>
  <si>
    <t>ELETRODUTO DE PVC RIGIDO ROSCAVEL DE 3/4 ", SEM LUVA</t>
  </si>
  <si>
    <t xml:space="preserve"> 00002680 </t>
  </si>
  <si>
    <t>ELETRODUTO DE PVC RIGIDO ROSCAVEL DE 1 1/2 ", SEM LUVA</t>
  </si>
  <si>
    <t xml:space="preserve"> 00002681 </t>
  </si>
  <si>
    <t>ELETRODUTO DE PVC RIGIDO ROSCAVEL DE 2 ", SEM LUVA</t>
  </si>
  <si>
    <t xml:space="preserve"> 00002683 </t>
  </si>
  <si>
    <t>ELETRODUTO DE PVC RIGIDO ROSCAVEL DE 4 ", SEM LUVA</t>
  </si>
  <si>
    <t xml:space="preserve"> 10.6 </t>
  </si>
  <si>
    <t xml:space="preserve"> 10.7 </t>
  </si>
  <si>
    <t xml:space="preserve"> 56492 </t>
  </si>
  <si>
    <t>LAMPADA DE LED TUBULAR 18/20 W</t>
  </si>
  <si>
    <t xml:space="preserve"> 55802 </t>
  </si>
  <si>
    <t>LUMINÁRIA COMERCIAL DE SOBREPOR COM DIFUSOR TRANSPARENTE OU FOSCO 2 LED TUBULAR 9/10 W</t>
  </si>
  <si>
    <t xml:space="preserve"> 59038 </t>
  </si>
  <si>
    <t>SOQUETE PARA LAMPADA TUBULAR</t>
  </si>
  <si>
    <t xml:space="preserve"> 00039387 </t>
  </si>
  <si>
    <t>LAMPADA LED TUBULAR BIVOLT 18/20 W, BASE G13</t>
  </si>
  <si>
    <t xml:space="preserve"> 00012295 </t>
  </si>
  <si>
    <t>SOQUETE DE BAQUELITE BASE E27, PARA LAMPADAS</t>
  </si>
  <si>
    <t>Banco de capacitores automático (com proteção, comando e capacitores) - 50KVAR</t>
  </si>
  <si>
    <t xml:space="preserve"> 11.3 </t>
  </si>
  <si>
    <t xml:space="preserve"> 11.4 </t>
  </si>
  <si>
    <t xml:space="preserve"> 11.5 </t>
  </si>
  <si>
    <t xml:space="preserve"> 12.4.1 </t>
  </si>
  <si>
    <t xml:space="preserve"> 12.4.2 </t>
  </si>
  <si>
    <t xml:space="preserve"> 12.5.3 </t>
  </si>
  <si>
    <t xml:space="preserve"> 12.8.2 </t>
  </si>
  <si>
    <t xml:space="preserve"> 12.8.3 </t>
  </si>
  <si>
    <t xml:space="preserve"> 12.8.5 </t>
  </si>
  <si>
    <t xml:space="preserve"> 12.8.6 </t>
  </si>
  <si>
    <t xml:space="preserve"> 12.8.7 </t>
  </si>
  <si>
    <t xml:space="preserve"> 12.8.8 </t>
  </si>
  <si>
    <t xml:space="preserve"> 12.8.9 </t>
  </si>
  <si>
    <t xml:space="preserve"> 12.8.10 </t>
  </si>
  <si>
    <t xml:space="preserve"> 12.8.11 </t>
  </si>
  <si>
    <t xml:space="preserve"> 12.8.12 </t>
  </si>
  <si>
    <t>Limpeza</t>
  </si>
  <si>
    <t xml:space="preserve"> 1997 </t>
  </si>
  <si>
    <t>Sabão em pó</t>
  </si>
  <si>
    <t>kg</t>
  </si>
  <si>
    <t xml:space="preserve"> 2414 </t>
  </si>
  <si>
    <t>Vassoura piaçava</t>
  </si>
  <si>
    <t xml:space="preserve"> 07772 </t>
  </si>
  <si>
    <t>CAIXA DE PASSAGEM DE SOBREPOR, EM CHAPA DE ACO, DE (25X25)CM, COM TAMPA</t>
  </si>
  <si>
    <t xml:space="preserve"> 20060 </t>
  </si>
  <si>
    <t>MAO DE OBRA DE ELETRICISTA DA CONSTRUCAO CIVIL, INCLUSIVE ENCARGOS SOCIAIS DESON ERADOS</t>
  </si>
  <si>
    <t xml:space="preserve"> 20132 </t>
  </si>
  <si>
    <t>MAO DE OBRA DE SERVENTE DA CONSTRUCAO CI VIL, INCLUSIVE ENCARGOS SOCIAIS DESONERA DOS</t>
  </si>
  <si>
    <t>Declaro para os devidos fins que, conforme legislação tributária do município de TERESINA - PI, a base de cálculo do ISS para Construção de Edifícios e Reformas (Quadras, unidades habitacionais, escolas, restaurantes, etc), é de 60%, com a respectiva alíquota de 3% sobre o valor da mão de obra.</t>
  </si>
  <si>
    <t>12.10.2</t>
  </si>
  <si>
    <t>12.10.3</t>
  </si>
  <si>
    <t>12.10.4</t>
  </si>
  <si>
    <t>12.10.5</t>
  </si>
  <si>
    <t>12.10.6</t>
  </si>
  <si>
    <t>12.10.7</t>
  </si>
  <si>
    <t>12.10.8</t>
  </si>
  <si>
    <t>12.10.9</t>
  </si>
  <si>
    <t>12.10.10</t>
  </si>
  <si>
    <t>12.10.11</t>
  </si>
  <si>
    <t>12.10.12</t>
  </si>
  <si>
    <t>12.9.2</t>
  </si>
  <si>
    <t>12.9.3</t>
  </si>
  <si>
    <t>12.9.4</t>
  </si>
  <si>
    <t>12.9.5</t>
  </si>
  <si>
    <t>12.9.6</t>
  </si>
  <si>
    <t>12.9.7</t>
  </si>
  <si>
    <t>12.9.8</t>
  </si>
  <si>
    <t>12.9.9</t>
  </si>
  <si>
    <t>12.9.10</t>
  </si>
  <si>
    <t>12.9.11</t>
  </si>
  <si>
    <t>12.9.12</t>
  </si>
  <si>
    <t>12.7.4</t>
  </si>
  <si>
    <t>12.3.1</t>
  </si>
  <si>
    <t xml:space="preserve"> 11.6 </t>
  </si>
  <si>
    <t xml:space="preserve"> 006633 </t>
  </si>
  <si>
    <t xml:space="preserve"> 045581 </t>
  </si>
  <si>
    <t>RACK 16U x 770mm COM PORTA DE VIDRO TEMPERADO - PRETO</t>
  </si>
  <si>
    <t xml:space="preserve"> 9.1 </t>
  </si>
  <si>
    <t xml:space="preserve">Luva para eletroduto pvc roscavel, d=4 " </t>
  </si>
  <si>
    <t>CANALETA  BRANCO DT1334000 DUTOTEC</t>
  </si>
  <si>
    <t>ADEQUAÇÃO DE INSTALAÇÕES ELÉTRICAS E CABEAMENTO ESTRUTURADO - EDIFÍCIO SEDE</t>
  </si>
  <si>
    <t>SINAPI - 04/2022 - PIAUÍ   	SBC - 05/2022 - TSA - Teresina - PI  ORSE - 03/2022 - SERGIPE      ETOP - 03/2022 - Minas Gerais - Central SUDECAP - 02/2022 - MINAS GERAIS    CPOS - 02/2022 - São Paulo AGESUL - 01/2022 - MATO GROSSO DO SUL     GETOP CIVIL - 04/2022 - Goiás EMOP - 04/2022 - RIO DE JANEIRO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</si>
</sst>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;;;"/>
    <numFmt numFmtId="166" formatCode="#.##000"/>
    <numFmt numFmtId="167" formatCode="#,#00"/>
    <numFmt numFmtId="168" formatCode="%#,#00"/>
    <numFmt numFmtId="169" formatCode="#,"/>
    <numFmt numFmtId="170" formatCode="_([$€-2]* #,##0.00_);_([$€-2]* \(#,##0.00\);_([$€-2]* &quot;-&quot;??_)"/>
    <numFmt numFmtId="171" formatCode="0.00_);\(0.00\)"/>
    <numFmt numFmtId="172" formatCode="_(&quot;R$ &quot;* #,##0.00_);_(&quot;R$ &quot;* \(#,##0.00\);_(&quot;R$ &quot;* &quot;-&quot;??_);_(@_)"/>
    <numFmt numFmtId="173" formatCode="[$-416]mmmm\-yy;@"/>
    <numFmt numFmtId="174" formatCode="0.0000"/>
    <numFmt numFmtId="175" formatCode="0_);\(0\)"/>
    <numFmt numFmtId="176" formatCode="#,##0.00_ ;\-#,##0.00\ "/>
    <numFmt numFmtId="177" formatCode="0.0%"/>
    <numFmt numFmtId="178" formatCode="#,##0.0000000"/>
    <numFmt numFmtId="179" formatCode="_-* #,##0.00000_-;\-* #,##0.00000_-;_-* &quot;-&quot;??_-;_-@_-"/>
    <numFmt numFmtId="180" formatCode="_-* #,##0.00000000_-;\-* #,##0.00000000_-;_-* &quot;-&quot;??_-;_-@_-"/>
    <numFmt numFmtId="181" formatCode="000"/>
    <numFmt numFmtId="182" formatCode="_-&quot;R$&quot;\ * #,##0.00_-;\-&quot;R$&quot;\ * #,##0.00_-;_-&quot;R$&quot;\ * &quot;-&quot;??_-;_-@"/>
  </numFmts>
  <fonts count="81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name val="Arial Narrow"/>
      <family val="2"/>
    </font>
    <font>
      <sz val="1"/>
      <color indexed="8"/>
      <name val="Courier"/>
      <family val="3"/>
    </font>
    <font>
      <sz val="10"/>
      <name val="Arial"/>
      <family val="2"/>
    </font>
    <font>
      <sz val="9"/>
      <name val="Arial"/>
      <family val="2"/>
    </font>
    <font>
      <b/>
      <sz val="11"/>
      <name val="Times New Roman"/>
      <family val="1"/>
    </font>
    <font>
      <sz val="9"/>
      <name val="Times New Roman"/>
      <family val="1"/>
    </font>
    <font>
      <b/>
      <sz val="1"/>
      <color indexed="8"/>
      <name val="Courier"/>
      <family val="3"/>
    </font>
    <font>
      <b/>
      <sz val="12"/>
      <color indexed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9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theme="1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0"/>
      <name val="Arial Narrow"/>
      <family val="2"/>
    </font>
    <font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10"/>
      <name val="Arial Narrow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1"/>
      <color indexed="9"/>
      <name val="Arial"/>
      <family val="2"/>
    </font>
    <font>
      <b/>
      <sz val="11"/>
      <name val="Arial"/>
      <family val="2"/>
    </font>
    <font>
      <sz val="9"/>
      <name val="Arial Narrow"/>
      <family val="2"/>
    </font>
    <font>
      <sz val="10"/>
      <color theme="1"/>
      <name val="Arial Narrow"/>
      <family val="2"/>
    </font>
    <font>
      <b/>
      <sz val="10"/>
      <color rgb="FFFF0000"/>
      <name val="Arial Narrow"/>
      <family val="2"/>
    </font>
    <font>
      <b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10"/>
      <color indexed="9"/>
      <name val="Arial Narrow"/>
      <family val="2"/>
    </font>
    <font>
      <b/>
      <sz val="10"/>
      <color indexed="9"/>
      <name val="Arial Narrow"/>
      <family val="2"/>
    </font>
    <font>
      <sz val="10"/>
      <color indexed="8"/>
      <name val="Arial Narrow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sz val="11"/>
      <color theme="1"/>
      <name val="Arial Narrow"/>
      <family val="2"/>
    </font>
    <font>
      <i/>
      <sz val="10"/>
      <name val="Arial Narrow"/>
      <family val="2"/>
    </font>
    <font>
      <b/>
      <i/>
      <sz val="10"/>
      <name val="Arial Narrow"/>
      <family val="2"/>
    </font>
    <font>
      <sz val="10"/>
      <color rgb="FFFF0000"/>
      <name val="Arial Narrow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8"/>
      <color theme="1"/>
      <name val="Arial Narrow"/>
      <family val="2"/>
    </font>
    <font>
      <b/>
      <sz val="8"/>
      <color rgb="FFFF0000"/>
      <name val="Arial Narrow"/>
      <family val="2"/>
    </font>
    <font>
      <b/>
      <sz val="8"/>
      <color theme="1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i/>
      <sz val="8"/>
      <name val="Arial Narrow"/>
      <family val="2"/>
    </font>
    <font>
      <b/>
      <i/>
      <sz val="8"/>
      <name val="Arial Narrow"/>
      <family val="2"/>
    </font>
    <font>
      <sz val="8"/>
      <color rgb="FFFF0000"/>
      <name val="Arial Narrow"/>
      <family val="2"/>
    </font>
    <font>
      <sz val="8"/>
      <name val="Calibri"/>
      <family val="2"/>
      <scheme val="minor"/>
    </font>
    <font>
      <b/>
      <sz val="11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Times New Roman"/>
      <family val="1"/>
    </font>
    <font>
      <b/>
      <sz val="12"/>
      <color theme="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11"/>
      <color rgb="FF000000"/>
      <name val="Arial"/>
      <family val="2"/>
    </font>
    <font>
      <b/>
      <sz val="8"/>
      <color theme="1"/>
      <name val="Times New Roman"/>
      <family val="1"/>
    </font>
    <font>
      <b/>
      <sz val="8"/>
      <name val="Times New Roman"/>
      <family val="1"/>
    </font>
    <font>
      <b/>
      <sz val="8"/>
      <color theme="1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8"/>
      <color rgb="FF1E1E1E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indexed="64"/>
      </patternFill>
    </fill>
  </fills>
  <borders count="17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0" tint="-0.34998626667073579"/>
      </right>
      <top style="medium">
        <color indexed="64"/>
      </top>
      <bottom/>
      <diagonal/>
    </border>
    <border>
      <left/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thin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0" tint="-0.34998626667073579"/>
      </left>
      <right/>
      <top style="hair">
        <color theme="0" tint="-0.34998626667073579"/>
      </top>
      <bottom style="medium">
        <color indexed="64"/>
      </bottom>
      <diagonal/>
    </border>
    <border>
      <left/>
      <right/>
      <top style="hair">
        <color theme="0" tint="-0.34998626667073579"/>
      </top>
      <bottom style="medium">
        <color indexed="64"/>
      </bottom>
      <diagonal/>
    </border>
    <border>
      <left/>
      <right style="thin">
        <color theme="0" tint="-0.34998626667073579"/>
      </right>
      <top style="hair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hair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hair">
        <color theme="0" tint="-0.34998626667073579"/>
      </top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indexed="64"/>
      </right>
      <top/>
      <bottom/>
      <diagonal/>
    </border>
    <border>
      <left/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rgb="FF000000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rgb="FF000000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34998626667073579"/>
      </top>
      <bottom style="medium">
        <color rgb="FF000000"/>
      </bottom>
      <diagonal/>
    </border>
    <border>
      <left style="medium">
        <color indexed="64"/>
      </left>
      <right style="thin">
        <color theme="0" tint="-0.34998626667073579"/>
      </right>
      <top/>
      <bottom/>
      <diagonal/>
    </border>
    <border>
      <left style="medium">
        <color indexed="64"/>
      </left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/>
      <bottom style="medium">
        <color indexed="64"/>
      </bottom>
      <diagonal/>
    </border>
    <border>
      <left style="thin">
        <color theme="0" tint="-0.34998626667073579"/>
      </left>
      <right/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rgb="FF000000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hair">
        <color indexed="64"/>
      </top>
      <bottom style="hair">
        <color indexed="64"/>
      </bottom>
      <diagonal/>
    </border>
    <border>
      <left style="thin">
        <color theme="0" tint="-0.34998626667073579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hair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 style="hair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 style="medium">
        <color indexed="64"/>
      </left>
      <right style="thin">
        <color theme="0" tint="-0.34998626667073579"/>
      </right>
      <top/>
      <bottom style="hair">
        <color indexed="64"/>
      </bottom>
      <diagonal/>
    </border>
    <border>
      <left style="thin">
        <color theme="0" tint="-0.34998626667073579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 tint="-0.34998626667073579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 tint="-0.34998626667073579"/>
      </left>
      <right style="medium">
        <color indexed="64"/>
      </right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 tint="-0.34998626667073579"/>
      </right>
      <top style="hair">
        <color theme="0" tint="-0.14996795556505021"/>
      </top>
      <bottom style="hair">
        <color theme="0" tint="-0.14996795556505021"/>
      </bottom>
      <diagonal/>
    </border>
    <border>
      <left style="medium">
        <color indexed="64"/>
      </left>
      <right style="thin">
        <color theme="0" tint="-0.34998626667073579"/>
      </right>
      <top style="hair">
        <color theme="0" tint="-0.14996795556505021"/>
      </top>
      <bottom style="medium">
        <color indexed="64"/>
      </bottom>
      <diagonal/>
    </border>
    <border>
      <left/>
      <right style="thin">
        <color theme="0" tint="-0.34998626667073579"/>
      </right>
      <top style="hair">
        <color theme="0" tint="-0.14996795556505021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hair">
        <color theme="0" tint="-0.14996795556505021"/>
      </top>
      <bottom style="medium">
        <color indexed="64"/>
      </bottom>
      <diagonal/>
    </border>
    <border>
      <left style="thin">
        <color theme="0" tint="-0.34998626667073579"/>
      </left>
      <right/>
      <top style="hair">
        <color theme="0" tint="-0.14996795556505021"/>
      </top>
      <bottom style="medium">
        <color indexed="64"/>
      </bottom>
      <diagonal/>
    </border>
    <border>
      <left style="thin">
        <color theme="0" tint="-0.34998626667073579"/>
      </left>
      <right style="medium">
        <color indexed="64"/>
      </right>
      <top style="hair">
        <color theme="0" tint="-0.1499679555650502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theme="0" tint="-0.34998626667073579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medium">
        <color rgb="FF000000"/>
      </bottom>
      <diagonal/>
    </border>
    <border>
      <left style="thin">
        <color theme="0" tint="-0.34998626667073579"/>
      </left>
      <right style="thin">
        <color indexed="64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 tint="-0.34998626667073579"/>
      </left>
      <right style="thin">
        <color indexed="64"/>
      </right>
      <top style="hair">
        <color theme="0" tint="-0.14996795556505021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hair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dotted">
        <color rgb="FF000000"/>
      </right>
      <top style="thin">
        <color rgb="FF000000"/>
      </top>
      <bottom/>
      <diagonal/>
    </border>
    <border>
      <left style="dotted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</borders>
  <cellStyleXfs count="202">
    <xf numFmtId="0" fontId="0" fillId="0" borderId="0"/>
    <xf numFmtId="43" fontId="2" fillId="0" borderId="0" applyFont="0" applyFill="0" applyBorder="0" applyAlignment="0" applyProtection="0"/>
    <xf numFmtId="0" fontId="4" fillId="0" borderId="0"/>
    <xf numFmtId="0" fontId="6" fillId="0" borderId="0">
      <protection locked="0"/>
    </xf>
    <xf numFmtId="170" fontId="7" fillId="0" borderId="0" applyFont="0" applyFill="0" applyBorder="0" applyAlignment="0" applyProtection="0"/>
    <xf numFmtId="167" fontId="6" fillId="0" borderId="0">
      <protection locked="0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8" fontId="6" fillId="0" borderId="0">
      <protection locked="0"/>
    </xf>
    <xf numFmtId="166" fontId="6" fillId="0" borderId="0">
      <protection locked="0"/>
    </xf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4" fontId="9" fillId="0" borderId="1">
      <alignment vertical="center"/>
    </xf>
    <xf numFmtId="4" fontId="10" fillId="0" borderId="0">
      <alignment vertical="center"/>
    </xf>
    <xf numFmtId="169" fontId="11" fillId="0" borderId="0">
      <protection locked="0"/>
    </xf>
    <xf numFmtId="169" fontId="11" fillId="0" borderId="0">
      <protection locked="0"/>
    </xf>
    <xf numFmtId="49" fontId="12" fillId="2" borderId="2">
      <alignment horizontal="left" vertical="center" indent="1"/>
    </xf>
    <xf numFmtId="169" fontId="6" fillId="0" borderId="3">
      <protection locked="0"/>
    </xf>
    <xf numFmtId="164" fontId="7" fillId="0" borderId="0" applyFont="0" applyFill="0" applyBorder="0" applyAlignment="0" applyProtection="0"/>
    <xf numFmtId="0" fontId="7" fillId="0" borderId="0"/>
    <xf numFmtId="0" fontId="7" fillId="0" borderId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7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3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73" fontId="14" fillId="5" borderId="0" applyNumberFormat="0" applyBorder="0" applyAlignment="0" applyProtection="0"/>
    <xf numFmtId="173" fontId="14" fillId="6" borderId="0" applyNumberFormat="0" applyBorder="0" applyAlignment="0" applyProtection="0"/>
    <xf numFmtId="173" fontId="14" fillId="7" borderId="0" applyNumberFormat="0" applyBorder="0" applyAlignment="0" applyProtection="0"/>
    <xf numFmtId="173" fontId="14" fillId="8" borderId="0" applyNumberFormat="0" applyBorder="0" applyAlignment="0" applyProtection="0"/>
    <xf numFmtId="173" fontId="14" fillId="9" borderId="0" applyNumberFormat="0" applyBorder="0" applyAlignment="0" applyProtection="0"/>
    <xf numFmtId="173" fontId="14" fillId="10" borderId="0" applyNumberFormat="0" applyBorder="0" applyAlignment="0" applyProtection="0"/>
    <xf numFmtId="173" fontId="14" fillId="11" borderId="0" applyNumberFormat="0" applyBorder="0" applyAlignment="0" applyProtection="0"/>
    <xf numFmtId="173" fontId="14" fillId="12" borderId="0" applyNumberFormat="0" applyBorder="0" applyAlignment="0" applyProtection="0"/>
    <xf numFmtId="173" fontId="14" fillId="13" borderId="0" applyNumberFormat="0" applyBorder="0" applyAlignment="0" applyProtection="0"/>
    <xf numFmtId="173" fontId="14" fillId="8" borderId="0" applyNumberFormat="0" applyBorder="0" applyAlignment="0" applyProtection="0"/>
    <xf numFmtId="173" fontId="14" fillId="11" borderId="0" applyNumberFormat="0" applyBorder="0" applyAlignment="0" applyProtection="0"/>
    <xf numFmtId="173" fontId="14" fillId="14" borderId="0" applyNumberFormat="0" applyBorder="0" applyAlignment="0" applyProtection="0"/>
    <xf numFmtId="173" fontId="16" fillId="15" borderId="0" applyNumberFormat="0" applyBorder="0" applyAlignment="0" applyProtection="0"/>
    <xf numFmtId="173" fontId="16" fillId="12" borderId="0" applyNumberFormat="0" applyBorder="0" applyAlignment="0" applyProtection="0"/>
    <xf numFmtId="173" fontId="16" fillId="13" borderId="0" applyNumberFormat="0" applyBorder="0" applyAlignment="0" applyProtection="0"/>
    <xf numFmtId="173" fontId="16" fillId="16" borderId="0" applyNumberFormat="0" applyBorder="0" applyAlignment="0" applyProtection="0"/>
    <xf numFmtId="173" fontId="16" fillId="17" borderId="0" applyNumberFormat="0" applyBorder="0" applyAlignment="0" applyProtection="0"/>
    <xf numFmtId="173" fontId="16" fillId="18" borderId="0" applyNumberFormat="0" applyBorder="0" applyAlignment="0" applyProtection="0"/>
    <xf numFmtId="173" fontId="17" fillId="7" borderId="0" applyNumberFormat="0" applyBorder="0" applyAlignment="0" applyProtection="0"/>
    <xf numFmtId="173" fontId="18" fillId="19" borderId="19" applyNumberFormat="0" applyAlignment="0" applyProtection="0"/>
    <xf numFmtId="173" fontId="19" fillId="20" borderId="20" applyNumberFormat="0" applyAlignment="0" applyProtection="0"/>
    <xf numFmtId="173" fontId="20" fillId="0" borderId="21" applyNumberFormat="0" applyFill="0" applyAlignment="0" applyProtection="0"/>
    <xf numFmtId="173" fontId="6" fillId="0" borderId="0">
      <protection locked="0"/>
    </xf>
    <xf numFmtId="173" fontId="16" fillId="21" borderId="0" applyNumberFormat="0" applyBorder="0" applyAlignment="0" applyProtection="0"/>
    <xf numFmtId="173" fontId="16" fillId="22" borderId="0" applyNumberFormat="0" applyBorder="0" applyAlignment="0" applyProtection="0"/>
    <xf numFmtId="173" fontId="16" fillId="23" borderId="0" applyNumberFormat="0" applyBorder="0" applyAlignment="0" applyProtection="0"/>
    <xf numFmtId="173" fontId="16" fillId="16" borderId="0" applyNumberFormat="0" applyBorder="0" applyAlignment="0" applyProtection="0"/>
    <xf numFmtId="173" fontId="16" fillId="17" borderId="0" applyNumberFormat="0" applyBorder="0" applyAlignment="0" applyProtection="0"/>
    <xf numFmtId="173" fontId="16" fillId="24" borderId="0" applyNumberFormat="0" applyBorder="0" applyAlignment="0" applyProtection="0"/>
    <xf numFmtId="173" fontId="21" fillId="10" borderId="19" applyNumberFormat="0" applyAlignment="0" applyProtection="0"/>
    <xf numFmtId="173" fontId="7" fillId="0" borderId="0" applyFont="0" applyFill="0" applyBorder="0" applyAlignment="0" applyProtection="0"/>
    <xf numFmtId="173" fontId="22" fillId="6" borderId="0" applyNumberFormat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5" fillId="0" borderId="0" applyFont="0" applyFill="0" applyBorder="0" applyAlignment="0" applyProtection="0"/>
    <xf numFmtId="173" fontId="23" fillId="25" borderId="0" applyNumberFormat="0" applyBorder="0" applyAlignment="0" applyProtection="0"/>
    <xf numFmtId="173" fontId="5" fillId="0" borderId="0"/>
    <xf numFmtId="173" fontId="5" fillId="0" borderId="0"/>
    <xf numFmtId="173" fontId="5" fillId="0" borderId="0"/>
    <xf numFmtId="173" fontId="5" fillId="0" borderId="0"/>
    <xf numFmtId="173" fontId="13" fillId="0" borderId="0"/>
    <xf numFmtId="173" fontId="7" fillId="0" borderId="0"/>
    <xf numFmtId="173" fontId="5" fillId="0" borderId="0"/>
    <xf numFmtId="173" fontId="7" fillId="0" borderId="0"/>
    <xf numFmtId="0" fontId="7" fillId="0" borderId="0"/>
    <xf numFmtId="0" fontId="24" fillId="0" borderId="0"/>
    <xf numFmtId="173" fontId="7" fillId="26" borderId="22" applyNumberFormat="0" applyFont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3" fontId="25" fillId="19" borderId="23" applyNumberFormat="0" applyAlignment="0" applyProtection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5" fillId="0" borderId="0" applyFill="0" applyBorder="0" applyAlignment="0" applyProtection="0"/>
    <xf numFmtId="169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7" fillId="0" borderId="0" applyFont="0" applyFill="0" applyBorder="0" applyAlignment="0" applyProtection="0"/>
    <xf numFmtId="173" fontId="26" fillId="0" borderId="0" applyNumberFormat="0" applyFill="0" applyBorder="0" applyAlignment="0" applyProtection="0"/>
    <xf numFmtId="173" fontId="27" fillId="0" borderId="0" applyNumberFormat="0" applyFill="0" applyBorder="0" applyAlignment="0" applyProtection="0"/>
    <xf numFmtId="173" fontId="28" fillId="0" borderId="24" applyNumberFormat="0" applyFill="0" applyAlignment="0" applyProtection="0"/>
    <xf numFmtId="173" fontId="28" fillId="0" borderId="0" applyNumberFormat="0" applyFill="0" applyBorder="0" applyAlignment="0" applyProtection="0"/>
    <xf numFmtId="173" fontId="29" fillId="0" borderId="0" applyNumberFormat="0" applyFill="0" applyBorder="0" applyAlignment="0" applyProtection="0"/>
    <xf numFmtId="174" fontId="8" fillId="0" borderId="0"/>
    <xf numFmtId="9" fontId="7" fillId="0" borderId="0" applyFont="0" applyFill="0" applyBorder="0" applyAlignment="0" applyProtection="0"/>
    <xf numFmtId="174" fontId="8" fillId="0" borderId="0"/>
    <xf numFmtId="174" fontId="8" fillId="0" borderId="0"/>
    <xf numFmtId="174" fontId="5" fillId="0" borderId="0"/>
    <xf numFmtId="174" fontId="8" fillId="0" borderId="0"/>
    <xf numFmtId="174" fontId="8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74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74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3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4" fontId="8" fillId="0" borderId="0"/>
    <xf numFmtId="0" fontId="5" fillId="0" borderId="0"/>
    <xf numFmtId="43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0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2" fontId="4" fillId="0" borderId="0" applyFont="0" applyFill="0" applyBorder="0" applyAlignment="0" applyProtection="0"/>
    <xf numFmtId="173" fontId="4" fillId="0" borderId="0"/>
    <xf numFmtId="173" fontId="4" fillId="0" borderId="0"/>
    <xf numFmtId="173" fontId="4" fillId="0" borderId="0"/>
    <xf numFmtId="173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ill="0" applyBorder="0" applyAlignment="0" applyProtection="0"/>
    <xf numFmtId="164" fontId="4" fillId="0" borderId="0" applyFont="0" applyFill="0" applyBorder="0" applyAlignment="0" applyProtection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74" fontId="4" fillId="0" borderId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74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0" fontId="4" fillId="0" borderId="0"/>
    <xf numFmtId="44" fontId="2" fillId="0" borderId="0" applyFont="0" applyFill="0" applyBorder="0" applyAlignment="0" applyProtection="0"/>
    <xf numFmtId="0" fontId="71" fillId="0" borderId="0"/>
  </cellStyleXfs>
  <cellXfs count="693">
    <xf numFmtId="0" fontId="0" fillId="0" borderId="0" xfId="0"/>
    <xf numFmtId="0" fontId="31" fillId="4" borderId="0" xfId="0" applyFont="1" applyFill="1" applyAlignment="1">
      <alignment vertical="center"/>
    </xf>
    <xf numFmtId="0" fontId="15" fillId="4" borderId="0" xfId="7" applyFont="1" applyFill="1" applyAlignment="1">
      <alignment vertical="center"/>
    </xf>
    <xf numFmtId="0" fontId="32" fillId="4" borderId="0" xfId="10" applyFont="1" applyFill="1" applyAlignment="1">
      <alignment vertical="center"/>
    </xf>
    <xf numFmtId="1" fontId="32" fillId="4" borderId="0" xfId="10" applyNumberFormat="1" applyFont="1" applyFill="1" applyAlignment="1">
      <alignment horizontal="center" vertical="center"/>
    </xf>
    <xf numFmtId="4" fontId="32" fillId="4" borderId="0" xfId="10" applyNumberFormat="1" applyFont="1" applyFill="1" applyAlignment="1">
      <alignment vertical="center"/>
    </xf>
    <xf numFmtId="4" fontId="33" fillId="4" borderId="0" xfId="10" applyNumberFormat="1" applyFont="1" applyFill="1" applyAlignment="1">
      <alignment vertical="center"/>
    </xf>
    <xf numFmtId="0" fontId="0" fillId="0" borderId="0" xfId="0" applyAlignment="1">
      <alignment vertical="center"/>
    </xf>
    <xf numFmtId="173" fontId="30" fillId="0" borderId="0" xfId="92" applyFont="1" applyAlignment="1">
      <alignment horizontal="left" vertical="center"/>
    </xf>
    <xf numFmtId="173" fontId="34" fillId="0" borderId="0" xfId="92" applyFont="1" applyAlignment="1">
      <alignment vertical="center"/>
    </xf>
    <xf numFmtId="173" fontId="30" fillId="0" borderId="0" xfId="92" applyFont="1" applyAlignment="1">
      <alignment horizontal="right" vertical="center"/>
    </xf>
    <xf numFmtId="173" fontId="34" fillId="0" borderId="0" xfId="92" applyFont="1" applyAlignment="1">
      <alignment horizontal="center" vertical="center"/>
    </xf>
    <xf numFmtId="173" fontId="30" fillId="0" borderId="0" xfId="92" applyFont="1" applyAlignment="1">
      <alignment vertical="center"/>
    </xf>
    <xf numFmtId="173" fontId="34" fillId="0" borderId="0" xfId="92" applyFont="1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3" fillId="28" borderId="29" xfId="0" applyFont="1" applyFill="1" applyBorder="1" applyAlignment="1">
      <alignment horizontal="left" vertical="center"/>
    </xf>
    <xf numFmtId="0" fontId="40" fillId="4" borderId="0" xfId="0" applyFont="1" applyFill="1" applyAlignment="1">
      <alignment vertical="center"/>
    </xf>
    <xf numFmtId="0" fontId="40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43" fontId="40" fillId="0" borderId="0" xfId="1" applyFont="1" applyAlignment="1">
      <alignment vertical="center"/>
    </xf>
    <xf numFmtId="175" fontId="34" fillId="4" borderId="38" xfId="9" applyNumberFormat="1" applyFont="1" applyFill="1" applyBorder="1" applyAlignment="1">
      <alignment horizontal="center" vertical="center"/>
    </xf>
    <xf numFmtId="171" fontId="34" fillId="4" borderId="39" xfId="9" applyNumberFormat="1" applyFont="1" applyFill="1" applyBorder="1" applyAlignment="1">
      <alignment horizontal="center" vertical="center"/>
    </xf>
    <xf numFmtId="171" fontId="34" fillId="4" borderId="44" xfId="9" applyNumberFormat="1" applyFont="1" applyFill="1" applyBorder="1" applyAlignment="1">
      <alignment horizontal="center" vertical="center"/>
    </xf>
    <xf numFmtId="0" fontId="34" fillId="4" borderId="43" xfId="9" quotePrefix="1" applyFont="1" applyFill="1" applyBorder="1" applyAlignment="1">
      <alignment vertical="center"/>
    </xf>
    <xf numFmtId="0" fontId="34" fillId="4" borderId="44" xfId="9" applyFont="1" applyFill="1" applyBorder="1" applyAlignment="1">
      <alignment vertical="center"/>
    </xf>
    <xf numFmtId="0" fontId="34" fillId="4" borderId="45" xfId="9" applyFont="1" applyFill="1" applyBorder="1" applyAlignment="1">
      <alignment vertical="center"/>
    </xf>
    <xf numFmtId="0" fontId="34" fillId="4" borderId="39" xfId="9" applyFont="1" applyFill="1" applyBorder="1" applyAlignment="1">
      <alignment horizontal="center" vertical="center"/>
    </xf>
    <xf numFmtId="4" fontId="30" fillId="4" borderId="39" xfId="26" applyNumberFormat="1" applyFont="1" applyFill="1" applyBorder="1" applyAlignment="1">
      <alignment vertical="center"/>
    </xf>
    <xf numFmtId="4" fontId="41" fillId="29" borderId="40" xfId="26" applyNumberFormat="1" applyFont="1" applyFill="1" applyBorder="1" applyAlignment="1">
      <alignment vertical="center"/>
    </xf>
    <xf numFmtId="175" fontId="34" fillId="4" borderId="38" xfId="9" quotePrefix="1" applyNumberFormat="1" applyFont="1" applyFill="1" applyBorder="1" applyAlignment="1">
      <alignment horizontal="center" vertical="center"/>
    </xf>
    <xf numFmtId="175" fontId="30" fillId="4" borderId="44" xfId="9" quotePrefix="1" applyNumberFormat="1" applyFont="1" applyFill="1" applyBorder="1" applyAlignment="1">
      <alignment horizontal="center" vertical="center"/>
    </xf>
    <xf numFmtId="0" fontId="30" fillId="4" borderId="43" xfId="9" quotePrefix="1" applyFont="1" applyFill="1" applyBorder="1" applyAlignment="1">
      <alignment vertical="center"/>
    </xf>
    <xf numFmtId="0" fontId="30" fillId="4" borderId="44" xfId="9" applyFont="1" applyFill="1" applyBorder="1" applyAlignment="1">
      <alignment vertical="center"/>
    </xf>
    <xf numFmtId="0" fontId="30" fillId="4" borderId="39" xfId="9" applyFont="1" applyFill="1" applyBorder="1" applyAlignment="1">
      <alignment horizontal="center" vertical="center"/>
    </xf>
    <xf numFmtId="4" fontId="30" fillId="4" borderId="39" xfId="1" applyNumberFormat="1" applyFont="1" applyFill="1" applyBorder="1" applyAlignment="1">
      <alignment horizontal="right" vertical="center"/>
    </xf>
    <xf numFmtId="175" fontId="30" fillId="4" borderId="38" xfId="9" quotePrefix="1" applyNumberFormat="1" applyFont="1" applyFill="1" applyBorder="1" applyAlignment="1">
      <alignment horizontal="center" vertical="center"/>
    </xf>
    <xf numFmtId="175" fontId="30" fillId="4" borderId="39" xfId="9" quotePrefix="1" applyNumberFormat="1" applyFont="1" applyFill="1" applyBorder="1" applyAlignment="1">
      <alignment horizontal="center" vertical="center"/>
    </xf>
    <xf numFmtId="171" fontId="34" fillId="4" borderId="39" xfId="9" quotePrefix="1" applyNumberFormat="1" applyFont="1" applyFill="1" applyBorder="1" applyAlignment="1">
      <alignment horizontal="center" vertical="center"/>
    </xf>
    <xf numFmtId="171" fontId="34" fillId="4" borderId="44" xfId="9" quotePrefix="1" applyNumberFormat="1" applyFont="1" applyFill="1" applyBorder="1" applyAlignment="1">
      <alignment horizontal="center" vertical="center"/>
    </xf>
    <xf numFmtId="0" fontId="34" fillId="4" borderId="44" xfId="9" quotePrefix="1" applyFont="1" applyFill="1" applyBorder="1" applyAlignment="1">
      <alignment vertical="center"/>
    </xf>
    <xf numFmtId="175" fontId="34" fillId="4" borderId="44" xfId="9" applyNumberFormat="1" applyFont="1" applyFill="1" applyBorder="1" applyAlignment="1">
      <alignment horizontal="center" vertical="center"/>
    </xf>
    <xf numFmtId="175" fontId="34" fillId="4" borderId="44" xfId="9" quotePrefix="1" applyNumberFormat="1" applyFont="1" applyFill="1" applyBorder="1" applyAlignment="1">
      <alignment horizontal="center" vertical="center"/>
    </xf>
    <xf numFmtId="1" fontId="30" fillId="4" borderId="39" xfId="9" quotePrefix="1" applyNumberFormat="1" applyFont="1" applyFill="1" applyBorder="1" applyAlignment="1">
      <alignment horizontal="center" vertical="center"/>
    </xf>
    <xf numFmtId="0" fontId="30" fillId="4" borderId="46" xfId="9" quotePrefix="1" applyFont="1" applyFill="1" applyBorder="1" applyAlignment="1">
      <alignment vertical="center"/>
    </xf>
    <xf numFmtId="0" fontId="30" fillId="4" borderId="47" xfId="9" applyFont="1" applyFill="1" applyBorder="1" applyAlignment="1">
      <alignment vertical="center"/>
    </xf>
    <xf numFmtId="0" fontId="30" fillId="4" borderId="50" xfId="9" applyFont="1" applyFill="1" applyBorder="1" applyAlignment="1">
      <alignment horizontal="center" vertical="center"/>
    </xf>
    <xf numFmtId="4" fontId="30" fillId="4" borderId="50" xfId="26" applyNumberFormat="1" applyFont="1" applyFill="1" applyBorder="1" applyAlignment="1">
      <alignment vertical="center"/>
    </xf>
    <xf numFmtId="4" fontId="41" fillId="29" borderId="51" xfId="26" applyNumberFormat="1" applyFont="1" applyFill="1" applyBorder="1" applyAlignment="1">
      <alignment vertical="center"/>
    </xf>
    <xf numFmtId="10" fontId="34" fillId="0" borderId="0" xfId="144" applyNumberFormat="1" applyFont="1" applyFill="1" applyAlignment="1" applyProtection="1">
      <alignment horizontal="center" vertical="center"/>
    </xf>
    <xf numFmtId="164" fontId="30" fillId="0" borderId="0" xfId="190" applyFont="1" applyFill="1" applyBorder="1" applyAlignment="1" applyProtection="1">
      <alignment vertical="center" wrapText="1"/>
    </xf>
    <xf numFmtId="173" fontId="13" fillId="0" borderId="0" xfId="92" applyAlignment="1">
      <alignment vertical="center"/>
    </xf>
    <xf numFmtId="10" fontId="30" fillId="0" borderId="0" xfId="144" applyNumberFormat="1" applyFont="1" applyFill="1" applyBorder="1" applyAlignment="1" applyProtection="1">
      <alignment vertical="center"/>
      <protection locked="0"/>
    </xf>
    <xf numFmtId="10" fontId="30" fillId="0" borderId="0" xfId="144" applyNumberFormat="1" applyFont="1" applyFill="1" applyBorder="1" applyAlignment="1" applyProtection="1">
      <alignment horizontal="right" vertical="center"/>
      <protection locked="0"/>
    </xf>
    <xf numFmtId="0" fontId="40" fillId="0" borderId="0" xfId="0" applyFont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0" fillId="27" borderId="73" xfId="0" applyFont="1" applyFill="1" applyBorder="1" applyAlignment="1">
      <alignment horizontal="center" vertical="center"/>
    </xf>
    <xf numFmtId="0" fontId="30" fillId="27" borderId="26" xfId="0" applyFont="1" applyFill="1" applyBorder="1" applyAlignment="1">
      <alignment vertical="center"/>
    </xf>
    <xf numFmtId="164" fontId="34" fillId="27" borderId="26" xfId="22" applyFont="1" applyFill="1" applyBorder="1" applyAlignment="1">
      <alignment vertical="center"/>
    </xf>
    <xf numFmtId="0" fontId="30" fillId="27" borderId="108" xfId="0" applyFont="1" applyFill="1" applyBorder="1" applyAlignment="1">
      <alignment horizontal="center" vertical="center"/>
    </xf>
    <xf numFmtId="0" fontId="30" fillId="27" borderId="106" xfId="0" applyFont="1" applyFill="1" applyBorder="1" applyAlignment="1">
      <alignment vertical="center"/>
    </xf>
    <xf numFmtId="10" fontId="34" fillId="27" borderId="4" xfId="195" applyNumberFormat="1" applyFont="1" applyFill="1" applyBorder="1" applyAlignment="1">
      <alignment vertical="center"/>
    </xf>
    <xf numFmtId="0" fontId="30" fillId="30" borderId="73" xfId="0" applyFont="1" applyFill="1" applyBorder="1" applyAlignment="1">
      <alignment horizontal="right" vertical="center"/>
    </xf>
    <xf numFmtId="0" fontId="30" fillId="30" borderId="26" xfId="0" applyFont="1" applyFill="1" applyBorder="1" applyAlignment="1">
      <alignment vertical="center"/>
    </xf>
    <xf numFmtId="43" fontId="34" fillId="30" borderId="26" xfId="0" applyNumberFormat="1" applyFont="1" applyFill="1" applyBorder="1" applyAlignment="1">
      <alignment vertical="center"/>
    </xf>
    <xf numFmtId="0" fontId="30" fillId="30" borderId="77" xfId="0" applyFont="1" applyFill="1" applyBorder="1" applyAlignment="1">
      <alignment horizontal="right" vertical="center"/>
    </xf>
    <xf numFmtId="0" fontId="30" fillId="30" borderId="27" xfId="0" applyFont="1" applyFill="1" applyBorder="1" applyAlignment="1">
      <alignment vertical="center"/>
    </xf>
    <xf numFmtId="164" fontId="30" fillId="0" borderId="0" xfId="190" applyFont="1" applyFill="1" applyBorder="1" applyAlignment="1">
      <alignment vertical="center" wrapText="1"/>
    </xf>
    <xf numFmtId="164" fontId="30" fillId="0" borderId="0" xfId="190" applyFont="1" applyBorder="1" applyAlignment="1">
      <alignment vertical="center" wrapText="1"/>
    </xf>
    <xf numFmtId="0" fontId="30" fillId="4" borderId="0" xfId="7" applyFont="1" applyFill="1" applyAlignment="1">
      <alignment vertical="center"/>
    </xf>
    <xf numFmtId="0" fontId="50" fillId="4" borderId="0" xfId="10" applyFont="1" applyFill="1" applyAlignment="1">
      <alignment vertical="center"/>
    </xf>
    <xf numFmtId="1" fontId="50" fillId="4" borderId="0" xfId="10" applyNumberFormat="1" applyFont="1" applyFill="1" applyAlignment="1">
      <alignment horizontal="center" vertical="center"/>
    </xf>
    <xf numFmtId="4" fontId="50" fillId="4" borderId="0" xfId="10" applyNumberFormat="1" applyFont="1" applyFill="1" applyAlignment="1">
      <alignment vertical="center"/>
    </xf>
    <xf numFmtId="4" fontId="51" fillId="4" borderId="0" xfId="10" applyNumberFormat="1" applyFont="1" applyFill="1" applyAlignment="1">
      <alignment vertical="center"/>
    </xf>
    <xf numFmtId="43" fontId="51" fillId="4" borderId="0" xfId="1" applyFont="1" applyFill="1" applyBorder="1" applyAlignment="1">
      <alignment vertical="center"/>
    </xf>
    <xf numFmtId="4" fontId="40" fillId="4" borderId="0" xfId="0" applyNumberFormat="1" applyFont="1" applyFill="1" applyAlignment="1">
      <alignment vertical="center"/>
    </xf>
    <xf numFmtId="43" fontId="40" fillId="4" borderId="0" xfId="1" applyFont="1" applyFill="1" applyBorder="1" applyAlignment="1">
      <alignment vertical="center"/>
    </xf>
    <xf numFmtId="0" fontId="30" fillId="4" borderId="44" xfId="9" applyFont="1" applyFill="1" applyBorder="1" applyAlignment="1" applyProtection="1">
      <alignment vertical="center" wrapText="1"/>
      <protection locked="0"/>
    </xf>
    <xf numFmtId="0" fontId="30" fillId="4" borderId="44" xfId="9" applyFont="1" applyFill="1" applyBorder="1" applyAlignment="1" applyProtection="1">
      <alignment vertical="center"/>
      <protection locked="0"/>
    </xf>
    <xf numFmtId="0" fontId="30" fillId="4" borderId="45" xfId="9" applyFont="1" applyFill="1" applyBorder="1" applyAlignment="1" applyProtection="1">
      <alignment vertical="center"/>
      <protection locked="0"/>
    </xf>
    <xf numFmtId="0" fontId="40" fillId="4" borderId="0" xfId="0" applyFont="1" applyFill="1" applyAlignment="1">
      <alignment horizontal="center" vertical="center"/>
    </xf>
    <xf numFmtId="0" fontId="40" fillId="0" borderId="0" xfId="0" applyFont="1" applyAlignment="1">
      <alignment horizontal="left" vertical="center"/>
    </xf>
    <xf numFmtId="43" fontId="30" fillId="0" borderId="0" xfId="1" applyFont="1" applyBorder="1" applyAlignment="1">
      <alignment horizontal="right" vertical="center"/>
    </xf>
    <xf numFmtId="0" fontId="34" fillId="4" borderId="0" xfId="8" applyFont="1" applyFill="1" applyAlignment="1">
      <alignment vertical="center"/>
    </xf>
    <xf numFmtId="0" fontId="34" fillId="4" borderId="0" xfId="9" quotePrefix="1" applyFont="1" applyFill="1" applyAlignment="1">
      <alignment vertical="center"/>
    </xf>
    <xf numFmtId="0" fontId="30" fillId="4" borderId="0" xfId="9" quotePrefix="1" applyFont="1" applyFill="1" applyAlignment="1">
      <alignment vertical="center"/>
    </xf>
    <xf numFmtId="4" fontId="40" fillId="0" borderId="0" xfId="0" applyNumberFormat="1" applyFont="1" applyAlignment="1">
      <alignment vertical="center"/>
    </xf>
    <xf numFmtId="164" fontId="34" fillId="0" borderId="4" xfId="22" applyFont="1" applyFill="1" applyBorder="1" applyAlignment="1">
      <alignment vertical="center"/>
    </xf>
    <xf numFmtId="164" fontId="30" fillId="4" borderId="113" xfId="22" applyFont="1" applyFill="1" applyBorder="1" applyAlignment="1">
      <alignment vertical="center"/>
    </xf>
    <xf numFmtId="164" fontId="30" fillId="4" borderId="114" xfId="22" applyFont="1" applyFill="1" applyBorder="1" applyAlignment="1">
      <alignment vertical="center"/>
    </xf>
    <xf numFmtId="164" fontId="30" fillId="4" borderId="25" xfId="22" applyFont="1" applyFill="1" applyBorder="1" applyAlignment="1">
      <alignment vertical="center"/>
    </xf>
    <xf numFmtId="164" fontId="30" fillId="4" borderId="13" xfId="22" applyFont="1" applyFill="1" applyBorder="1" applyAlignment="1">
      <alignment vertical="center"/>
    </xf>
    <xf numFmtId="10" fontId="34" fillId="0" borderId="29" xfId="195" applyNumberFormat="1" applyFont="1" applyFill="1" applyBorder="1" applyAlignment="1">
      <alignment vertical="center"/>
    </xf>
    <xf numFmtId="0" fontId="41" fillId="29" borderId="0" xfId="0" applyFont="1" applyFill="1" applyAlignment="1">
      <alignment horizontal="right" vertical="center"/>
    </xf>
    <xf numFmtId="43" fontId="41" fillId="29" borderId="64" xfId="1" applyFont="1" applyFill="1" applyBorder="1" applyAlignment="1">
      <alignment horizontal="left" vertical="center"/>
    </xf>
    <xf numFmtId="43" fontId="41" fillId="29" borderId="58" xfId="1" applyFont="1" applyFill="1" applyBorder="1" applyAlignment="1">
      <alignment horizontal="left" vertical="center"/>
    </xf>
    <xf numFmtId="43" fontId="41" fillId="29" borderId="59" xfId="1" applyFont="1" applyFill="1" applyBorder="1" applyAlignment="1">
      <alignment horizontal="left" vertical="center"/>
    </xf>
    <xf numFmtId="0" fontId="30" fillId="4" borderId="0" xfId="145" applyFill="1" applyAlignment="1">
      <alignment vertical="center"/>
    </xf>
    <xf numFmtId="0" fontId="34" fillId="4" borderId="0" xfId="145" applyFont="1" applyFill="1" applyAlignment="1">
      <alignment vertical="center"/>
    </xf>
    <xf numFmtId="0" fontId="40" fillId="0" borderId="0" xfId="0" applyFont="1" applyAlignment="1">
      <alignment horizontal="justify" vertical="center"/>
    </xf>
    <xf numFmtId="0" fontId="47" fillId="29" borderId="56" xfId="0" applyFont="1" applyFill="1" applyBorder="1" applyAlignment="1">
      <alignment horizontal="center" vertical="center" wrapText="1"/>
    </xf>
    <xf numFmtId="0" fontId="47" fillId="0" borderId="86" xfId="0" applyFont="1" applyBorder="1" applyAlignment="1">
      <alignment horizontal="center" vertical="center" wrapText="1"/>
    </xf>
    <xf numFmtId="43" fontId="40" fillId="0" borderId="87" xfId="1" applyFont="1" applyBorder="1" applyAlignment="1">
      <alignment horizontal="center" vertical="center" wrapText="1"/>
    </xf>
    <xf numFmtId="0" fontId="40" fillId="0" borderId="0" xfId="0" applyFont="1" applyAlignment="1">
      <alignment horizontal="left" vertical="center" wrapText="1"/>
    </xf>
    <xf numFmtId="0" fontId="40" fillId="0" borderId="0" xfId="0" applyFont="1" applyAlignment="1">
      <alignment horizontal="justify" vertical="center" wrapText="1"/>
    </xf>
    <xf numFmtId="0" fontId="30" fillId="0" borderId="0" xfId="0" applyFont="1" applyAlignment="1">
      <alignment horizontal="left" vertical="center"/>
    </xf>
    <xf numFmtId="0" fontId="52" fillId="0" borderId="0" xfId="0" applyFont="1" applyAlignment="1">
      <alignment horizontal="justify" vertical="center"/>
    </xf>
    <xf numFmtId="0" fontId="52" fillId="0" borderId="0" xfId="0" applyFont="1" applyAlignment="1">
      <alignment horizontal="left" vertical="center"/>
    </xf>
    <xf numFmtId="0" fontId="40" fillId="0" borderId="8" xfId="0" applyFont="1" applyBorder="1" applyAlignment="1">
      <alignment horizontal="left" vertical="center"/>
    </xf>
    <xf numFmtId="0" fontId="40" fillId="0" borderId="9" xfId="0" applyFont="1" applyBorder="1" applyAlignment="1">
      <alignment horizontal="justify" vertical="center"/>
    </xf>
    <xf numFmtId="0" fontId="40" fillId="0" borderId="65" xfId="0" applyFont="1" applyBorder="1" applyAlignment="1">
      <alignment horizontal="left" vertical="center"/>
    </xf>
    <xf numFmtId="0" fontId="40" fillId="0" borderId="66" xfId="0" applyFont="1" applyBorder="1" applyAlignment="1">
      <alignment horizontal="left" vertical="center"/>
    </xf>
    <xf numFmtId="0" fontId="40" fillId="0" borderId="67" xfId="0" applyFont="1" applyBorder="1" applyAlignment="1">
      <alignment horizontal="left" vertical="center"/>
    </xf>
    <xf numFmtId="0" fontId="47" fillId="29" borderId="55" xfId="0" applyFont="1" applyFill="1" applyBorder="1" applyAlignment="1">
      <alignment horizontal="center" vertical="center" wrapText="1"/>
    </xf>
    <xf numFmtId="0" fontId="47" fillId="29" borderId="57" xfId="0" applyFont="1" applyFill="1" applyBorder="1" applyAlignment="1">
      <alignment horizontal="center" vertical="center" wrapText="1"/>
    </xf>
    <xf numFmtId="43" fontId="40" fillId="0" borderId="84" xfId="1" applyFont="1" applyBorder="1" applyAlignment="1">
      <alignment horizontal="center" vertical="center" wrapText="1"/>
    </xf>
    <xf numFmtId="43" fontId="40" fillId="0" borderId="86" xfId="1" applyFont="1" applyBorder="1" applyAlignment="1">
      <alignment horizontal="center" vertical="center" wrapText="1"/>
    </xf>
    <xf numFmtId="43" fontId="40" fillId="0" borderId="89" xfId="1" applyFont="1" applyBorder="1" applyAlignment="1">
      <alignment horizontal="center" vertical="center" wrapText="1"/>
    </xf>
    <xf numFmtId="43" fontId="34" fillId="0" borderId="0" xfId="1" applyFont="1" applyBorder="1" applyAlignment="1">
      <alignment vertical="center"/>
    </xf>
    <xf numFmtId="43" fontId="30" fillId="0" borderId="0" xfId="1" applyFont="1" applyFill="1" applyAlignment="1" applyProtection="1">
      <alignment vertical="center"/>
    </xf>
    <xf numFmtId="0" fontId="40" fillId="0" borderId="6" xfId="0" applyFont="1" applyBorder="1" applyAlignment="1">
      <alignment horizontal="right" vertical="center"/>
    </xf>
    <xf numFmtId="0" fontId="40" fillId="0" borderId="17" xfId="0" applyFont="1" applyBorder="1" applyAlignment="1">
      <alignment horizontal="right" vertical="center"/>
    </xf>
    <xf numFmtId="0" fontId="40" fillId="0" borderId="70" xfId="0" applyFont="1" applyBorder="1" applyAlignment="1">
      <alignment horizontal="left" vertical="center"/>
    </xf>
    <xf numFmtId="0" fontId="40" fillId="0" borderId="71" xfId="0" applyFont="1" applyBorder="1" applyAlignment="1">
      <alignment horizontal="left" vertical="center"/>
    </xf>
    <xf numFmtId="0" fontId="40" fillId="0" borderId="72" xfId="0" applyFont="1" applyBorder="1" applyAlignment="1">
      <alignment horizontal="left" vertical="center"/>
    </xf>
    <xf numFmtId="164" fontId="30" fillId="31" borderId="113" xfId="22" applyFont="1" applyFill="1" applyBorder="1" applyAlignment="1">
      <alignment horizontal="center" vertical="center"/>
    </xf>
    <xf numFmtId="164" fontId="30" fillId="31" borderId="114" xfId="22" applyFont="1" applyFill="1" applyBorder="1" applyAlignment="1">
      <alignment horizontal="center" vertical="center"/>
    </xf>
    <xf numFmtId="164" fontId="30" fillId="31" borderId="25" xfId="22" applyFont="1" applyFill="1" applyBorder="1" applyAlignment="1">
      <alignment horizontal="center" vertical="center"/>
    </xf>
    <xf numFmtId="164" fontId="30" fillId="4" borderId="113" xfId="22" applyFont="1" applyFill="1" applyBorder="1" applyAlignment="1">
      <alignment horizontal="center" vertical="center"/>
    </xf>
    <xf numFmtId="164" fontId="30" fillId="4" borderId="114" xfId="22" applyFont="1" applyFill="1" applyBorder="1" applyAlignment="1">
      <alignment horizontal="center" vertical="center"/>
    </xf>
    <xf numFmtId="164" fontId="30" fillId="4" borderId="25" xfId="22" applyFont="1" applyFill="1" applyBorder="1" applyAlignment="1">
      <alignment horizontal="center" vertical="center"/>
    </xf>
    <xf numFmtId="164" fontId="30" fillId="4" borderId="13" xfId="22" applyFont="1" applyFill="1" applyBorder="1" applyAlignment="1">
      <alignment horizontal="center" vertical="center"/>
    </xf>
    <xf numFmtId="0" fontId="40" fillId="0" borderId="0" xfId="0" quotePrefix="1" applyFont="1" applyAlignment="1">
      <alignment vertical="center"/>
    </xf>
    <xf numFmtId="173" fontId="30" fillId="0" borderId="0" xfId="92" applyFont="1" applyAlignment="1">
      <alignment horizontal="center" vertical="center"/>
    </xf>
    <xf numFmtId="4" fontId="30" fillId="0" borderId="0" xfId="0" applyNumberFormat="1" applyFont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8" fillId="0" borderId="0" xfId="0" applyFont="1" applyAlignment="1">
      <alignment horizontal="center" vertical="center"/>
    </xf>
    <xf numFmtId="43" fontId="48" fillId="0" borderId="0" xfId="1" applyFont="1" applyAlignment="1">
      <alignment horizontal="left" vertical="center"/>
    </xf>
    <xf numFmtId="0" fontId="42" fillId="0" borderId="0" xfId="0" applyFont="1" applyAlignment="1">
      <alignment vertical="center" wrapText="1"/>
    </xf>
    <xf numFmtId="173" fontId="34" fillId="0" borderId="0" xfId="92" applyFont="1" applyAlignment="1">
      <alignment horizontal="justify" vertical="center"/>
    </xf>
    <xf numFmtId="173" fontId="34" fillId="0" borderId="0" xfId="92" applyFont="1" applyAlignment="1">
      <alignment horizontal="justify" vertical="center" wrapText="1"/>
    </xf>
    <xf numFmtId="173" fontId="30" fillId="0" borderId="0" xfId="92" applyFont="1" applyAlignment="1">
      <alignment horizontal="justify" vertical="center"/>
    </xf>
    <xf numFmtId="10" fontId="34" fillId="0" borderId="0" xfId="144" applyNumberFormat="1" applyFont="1" applyFill="1" applyAlignment="1" applyProtection="1">
      <alignment horizontal="left" vertical="center"/>
    </xf>
    <xf numFmtId="0" fontId="50" fillId="4" borderId="0" xfId="10" applyFont="1" applyFill="1" applyAlignment="1">
      <alignment horizontal="justify" vertical="center"/>
    </xf>
    <xf numFmtId="4" fontId="50" fillId="4" borderId="0" xfId="10" applyNumberFormat="1" applyFont="1" applyFill="1" applyAlignment="1">
      <alignment horizontal="center" vertical="center"/>
    </xf>
    <xf numFmtId="173" fontId="34" fillId="0" borderId="0" xfId="92" applyFont="1" applyAlignment="1">
      <alignment horizontal="center" vertical="center" wrapText="1"/>
    </xf>
    <xf numFmtId="175" fontId="30" fillId="4" borderId="49" xfId="9" quotePrefix="1" applyNumberFormat="1" applyFont="1" applyFill="1" applyBorder="1" applyAlignment="1">
      <alignment horizontal="center" vertical="center"/>
    </xf>
    <xf numFmtId="1" fontId="30" fillId="4" borderId="50" xfId="9" quotePrefix="1" applyNumberFormat="1" applyFont="1" applyFill="1" applyBorder="1" applyAlignment="1">
      <alignment horizontal="center" vertical="center"/>
    </xf>
    <xf numFmtId="175" fontId="30" fillId="4" borderId="47" xfId="9" quotePrefix="1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justify" vertical="center"/>
    </xf>
    <xf numFmtId="0" fontId="42" fillId="0" borderId="0" xfId="0" applyFont="1" applyAlignment="1">
      <alignment horizontal="left" vertical="center"/>
    </xf>
    <xf numFmtId="0" fontId="48" fillId="0" borderId="84" xfId="0" applyFont="1" applyBorder="1" applyAlignment="1">
      <alignment horizontal="center" vertical="center" wrapText="1"/>
    </xf>
    <xf numFmtId="0" fontId="53" fillId="29" borderId="61" xfId="0" applyFont="1" applyFill="1" applyBorder="1" applyAlignment="1">
      <alignment horizontal="center" vertical="center" wrapText="1"/>
    </xf>
    <xf numFmtId="0" fontId="53" fillId="29" borderId="62" xfId="0" applyFont="1" applyFill="1" applyBorder="1" applyAlignment="1">
      <alignment horizontal="center" vertical="center" wrapText="1"/>
    </xf>
    <xf numFmtId="0" fontId="53" fillId="29" borderId="128" xfId="0" applyFont="1" applyFill="1" applyBorder="1" applyAlignment="1">
      <alignment horizontal="center" vertical="center" wrapText="1"/>
    </xf>
    <xf numFmtId="0" fontId="54" fillId="0" borderId="95" xfId="0" applyFont="1" applyBorder="1" applyAlignment="1">
      <alignment horizontal="center" vertical="center" wrapText="1"/>
    </xf>
    <xf numFmtId="10" fontId="55" fillId="0" borderId="97" xfId="144" applyNumberFormat="1" applyFont="1" applyBorder="1" applyAlignment="1">
      <alignment horizontal="right" vertical="center"/>
    </xf>
    <xf numFmtId="0" fontId="54" fillId="0" borderId="94" xfId="0" applyFont="1" applyBorder="1" applyAlignment="1">
      <alignment horizontal="center" vertical="center" wrapText="1"/>
    </xf>
    <xf numFmtId="0" fontId="54" fillId="0" borderId="95" xfId="0" applyFont="1" applyBorder="1" applyAlignment="1">
      <alignment horizontal="justify" vertical="center" wrapText="1"/>
    </xf>
    <xf numFmtId="43" fontId="54" fillId="0" borderId="96" xfId="1" applyFont="1" applyBorder="1" applyAlignment="1">
      <alignment horizontal="right" vertical="center" wrapText="1"/>
    </xf>
    <xf numFmtId="4" fontId="54" fillId="0" borderId="94" xfId="0" applyNumberFormat="1" applyFont="1" applyBorder="1" applyAlignment="1">
      <alignment vertical="center" wrapText="1"/>
    </xf>
    <xf numFmtId="4" fontId="54" fillId="0" borderId="95" xfId="0" applyNumberFormat="1" applyFont="1" applyBorder="1" applyAlignment="1">
      <alignment horizontal="right" vertical="center" wrapText="1"/>
    </xf>
    <xf numFmtId="4" fontId="54" fillId="0" borderId="129" xfId="0" applyNumberFormat="1" applyFont="1" applyBorder="1" applyAlignment="1">
      <alignment horizontal="right" vertical="center" wrapText="1"/>
    </xf>
    <xf numFmtId="4" fontId="54" fillId="0" borderId="98" xfId="0" applyNumberFormat="1" applyFont="1" applyBorder="1" applyAlignment="1">
      <alignment vertical="center" wrapText="1"/>
    </xf>
    <xf numFmtId="4" fontId="54" fillId="0" borderId="95" xfId="0" applyNumberFormat="1" applyFont="1" applyBorder="1" applyAlignment="1">
      <alignment vertical="center" wrapText="1"/>
    </xf>
    <xf numFmtId="43" fontId="54" fillId="0" borderId="129" xfId="1" applyFont="1" applyBorder="1" applyAlignment="1">
      <alignment horizontal="right" vertical="center" wrapText="1"/>
    </xf>
    <xf numFmtId="1" fontId="54" fillId="0" borderId="95" xfId="0" applyNumberFormat="1" applyFont="1" applyBorder="1" applyAlignment="1">
      <alignment horizontal="center" vertical="center" wrapText="1"/>
    </xf>
    <xf numFmtId="0" fontId="56" fillId="0" borderId="130" xfId="0" applyFont="1" applyBorder="1" applyAlignment="1">
      <alignment horizontal="right" vertical="center" wrapText="1"/>
    </xf>
    <xf numFmtId="4" fontId="56" fillId="0" borderId="100" xfId="0" applyNumberFormat="1" applyFont="1" applyBorder="1" applyAlignment="1">
      <alignment vertical="center" wrapText="1"/>
    </xf>
    <xf numFmtId="4" fontId="56" fillId="0" borderId="101" xfId="0" applyNumberFormat="1" applyFont="1" applyBorder="1" applyAlignment="1">
      <alignment vertical="center" wrapText="1"/>
    </xf>
    <xf numFmtId="43" fontId="56" fillId="0" borderId="130" xfId="1" applyFont="1" applyBorder="1" applyAlignment="1">
      <alignment horizontal="right" vertical="center" wrapText="1"/>
    </xf>
    <xf numFmtId="10" fontId="56" fillId="0" borderId="103" xfId="144" applyNumberFormat="1" applyFont="1" applyBorder="1" applyAlignment="1">
      <alignment horizontal="right" vertical="center"/>
    </xf>
    <xf numFmtId="0" fontId="55" fillId="0" borderId="0" xfId="0" applyFont="1" applyAlignment="1">
      <alignment vertical="center"/>
    </xf>
    <xf numFmtId="0" fontId="55" fillId="0" borderId="0" xfId="0" applyFont="1" applyAlignment="1">
      <alignment horizontal="center" vertical="center"/>
    </xf>
    <xf numFmtId="43" fontId="55" fillId="0" borderId="0" xfId="1" applyFont="1" applyAlignment="1">
      <alignment vertical="center"/>
    </xf>
    <xf numFmtId="173" fontId="58" fillId="0" borderId="0" xfId="92" applyFont="1" applyAlignment="1">
      <alignment vertical="center"/>
    </xf>
    <xf numFmtId="173" fontId="58" fillId="0" borderId="0" xfId="92" applyFont="1" applyAlignment="1">
      <alignment horizontal="left" vertical="center"/>
    </xf>
    <xf numFmtId="173" fontId="59" fillId="0" borderId="0" xfId="92" applyFont="1" applyAlignment="1">
      <alignment horizontal="left" vertical="center"/>
    </xf>
    <xf numFmtId="173" fontId="59" fillId="0" borderId="0" xfId="92" applyFont="1" applyAlignment="1">
      <alignment vertical="center"/>
    </xf>
    <xf numFmtId="43" fontId="59" fillId="0" borderId="0" xfId="1" applyFont="1" applyBorder="1" applyAlignment="1">
      <alignment vertical="center"/>
    </xf>
    <xf numFmtId="173" fontId="58" fillId="0" borderId="0" xfId="92" applyFont="1" applyAlignment="1">
      <alignment horizontal="right" vertical="center"/>
    </xf>
    <xf numFmtId="173" fontId="59" fillId="0" borderId="0" xfId="92" applyFont="1" applyAlignment="1">
      <alignment horizontal="center" vertical="center"/>
    </xf>
    <xf numFmtId="10" fontId="59" fillId="0" borderId="0" xfId="144" applyNumberFormat="1" applyFont="1" applyFill="1" applyAlignment="1" applyProtection="1">
      <alignment horizontal="center" vertical="center"/>
    </xf>
    <xf numFmtId="164" fontId="58" fillId="0" borderId="0" xfId="190" applyFont="1" applyFill="1" applyBorder="1" applyAlignment="1">
      <alignment vertical="center" wrapText="1"/>
    </xf>
    <xf numFmtId="164" fontId="58" fillId="0" borderId="0" xfId="190" applyFont="1" applyBorder="1" applyAlignment="1">
      <alignment vertical="center" wrapText="1"/>
    </xf>
    <xf numFmtId="43" fontId="58" fillId="0" borderId="0" xfId="1" applyFont="1" applyFill="1" applyAlignment="1" applyProtection="1">
      <alignment vertical="center"/>
    </xf>
    <xf numFmtId="0" fontId="55" fillId="4" borderId="0" xfId="0" applyFont="1" applyFill="1" applyAlignment="1">
      <alignment vertical="center"/>
    </xf>
    <xf numFmtId="0" fontId="55" fillId="4" borderId="0" xfId="0" applyFont="1" applyFill="1" applyAlignment="1">
      <alignment horizontal="center" vertical="center"/>
    </xf>
    <xf numFmtId="0" fontId="58" fillId="4" borderId="0" xfId="7" applyFont="1" applyFill="1" applyAlignment="1">
      <alignment vertical="center"/>
    </xf>
    <xf numFmtId="0" fontId="60" fillId="4" borderId="0" xfId="10" applyFont="1" applyFill="1" applyAlignment="1">
      <alignment vertical="center"/>
    </xf>
    <xf numFmtId="1" fontId="60" fillId="4" borderId="0" xfId="10" applyNumberFormat="1" applyFont="1" applyFill="1" applyAlignment="1">
      <alignment horizontal="center" vertical="center"/>
    </xf>
    <xf numFmtId="43" fontId="60" fillId="4" borderId="0" xfId="1" applyFont="1" applyFill="1" applyBorder="1" applyAlignment="1">
      <alignment vertical="center"/>
    </xf>
    <xf numFmtId="4" fontId="60" fillId="4" borderId="0" xfId="10" applyNumberFormat="1" applyFont="1" applyFill="1" applyAlignment="1">
      <alignment vertical="center"/>
    </xf>
    <xf numFmtId="4" fontId="61" fillId="4" borderId="0" xfId="10" applyNumberFormat="1" applyFont="1" applyFill="1" applyAlignment="1">
      <alignment vertical="center"/>
    </xf>
    <xf numFmtId="43" fontId="61" fillId="4" borderId="0" xfId="1" applyFont="1" applyFill="1" applyBorder="1" applyAlignment="1">
      <alignment vertical="center"/>
    </xf>
    <xf numFmtId="4" fontId="55" fillId="4" borderId="0" xfId="0" applyNumberFormat="1" applyFont="1" applyFill="1" applyAlignment="1">
      <alignment vertical="center"/>
    </xf>
    <xf numFmtId="0" fontId="55" fillId="0" borderId="0" xfId="0" applyFont="1" applyAlignment="1">
      <alignment horizontal="justify" vertical="center"/>
    </xf>
    <xf numFmtId="0" fontId="55" fillId="0" borderId="0" xfId="0" applyFont="1" applyAlignment="1">
      <alignment horizontal="left" vertical="center"/>
    </xf>
    <xf numFmtId="0" fontId="55" fillId="0" borderId="95" xfId="0" applyFont="1" applyBorder="1" applyAlignment="1">
      <alignment horizontal="center" vertical="center" wrapText="1"/>
    </xf>
    <xf numFmtId="43" fontId="55" fillId="0" borderId="96" xfId="1" applyFont="1" applyBorder="1" applyAlignment="1">
      <alignment horizontal="center" vertical="center" wrapText="1"/>
    </xf>
    <xf numFmtId="0" fontId="55" fillId="0" borderId="94" xfId="0" applyFont="1" applyBorder="1" applyAlignment="1">
      <alignment horizontal="center" vertical="center" wrapText="1"/>
    </xf>
    <xf numFmtId="0" fontId="55" fillId="0" borderId="129" xfId="0" applyFont="1" applyBorder="1" applyAlignment="1">
      <alignment horizontal="center" vertical="center" wrapText="1"/>
    </xf>
    <xf numFmtId="0" fontId="55" fillId="0" borderId="98" xfId="0" applyFont="1" applyBorder="1" applyAlignment="1">
      <alignment horizontal="center" vertical="center" wrapText="1"/>
    </xf>
    <xf numFmtId="43" fontId="55" fillId="0" borderId="129" xfId="1" applyFont="1" applyBorder="1" applyAlignment="1">
      <alignment horizontal="center" vertical="center" wrapText="1"/>
    </xf>
    <xf numFmtId="0" fontId="55" fillId="0" borderId="95" xfId="0" applyFont="1" applyBorder="1" applyAlignment="1">
      <alignment horizontal="justify" vertical="center" wrapText="1"/>
    </xf>
    <xf numFmtId="0" fontId="55" fillId="0" borderId="99" xfId="0" applyFont="1" applyBorder="1" applyAlignment="1">
      <alignment horizontal="center" vertical="center" wrapText="1"/>
    </xf>
    <xf numFmtId="0" fontId="55" fillId="0" borderId="100" xfId="0" applyFont="1" applyBorder="1" applyAlignment="1">
      <alignment horizontal="center" vertical="center" wrapText="1"/>
    </xf>
    <xf numFmtId="0" fontId="55" fillId="0" borderId="101" xfId="0" applyFont="1" applyBorder="1" applyAlignment="1">
      <alignment horizontal="justify" vertical="center" wrapText="1"/>
    </xf>
    <xf numFmtId="0" fontId="55" fillId="0" borderId="101" xfId="0" applyFont="1" applyBorder="1" applyAlignment="1">
      <alignment horizontal="center" vertical="center" wrapText="1"/>
    </xf>
    <xf numFmtId="43" fontId="55" fillId="0" borderId="102" xfId="1" applyFont="1" applyBorder="1" applyAlignment="1">
      <alignment horizontal="center" vertical="center" wrapText="1"/>
    </xf>
    <xf numFmtId="0" fontId="55" fillId="0" borderId="0" xfId="0" applyFont="1" applyAlignment="1">
      <alignment horizontal="left" vertical="center" wrapText="1"/>
    </xf>
    <xf numFmtId="0" fontId="55" fillId="0" borderId="0" xfId="0" applyFont="1" applyAlignment="1">
      <alignment horizontal="center" vertical="center" wrapText="1"/>
    </xf>
    <xf numFmtId="0" fontId="55" fillId="0" borderId="0" xfId="0" applyFont="1" applyAlignment="1">
      <alignment horizontal="justify" vertical="center" wrapText="1"/>
    </xf>
    <xf numFmtId="43" fontId="55" fillId="0" borderId="0" xfId="1" applyFont="1" applyBorder="1" applyAlignment="1">
      <alignment horizontal="center" vertical="center" wrapText="1"/>
    </xf>
    <xf numFmtId="0" fontId="55" fillId="4" borderId="0" xfId="0" applyFont="1" applyFill="1" applyAlignment="1">
      <alignment horizontal="right" vertical="center"/>
    </xf>
    <xf numFmtId="43" fontId="55" fillId="4" borderId="0" xfId="1" applyFont="1" applyFill="1" applyBorder="1" applyAlignment="1">
      <alignment horizontal="right" vertical="center"/>
    </xf>
    <xf numFmtId="0" fontId="55" fillId="0" borderId="6" xfId="0" applyFont="1" applyBorder="1" applyAlignment="1">
      <alignment horizontal="right" vertical="center"/>
    </xf>
    <xf numFmtId="0" fontId="55" fillId="0" borderId="17" xfId="0" applyFont="1" applyBorder="1" applyAlignment="1">
      <alignment horizontal="right" vertical="center"/>
    </xf>
    <xf numFmtId="0" fontId="55" fillId="0" borderId="90" xfId="0" applyFont="1" applyBorder="1" applyAlignment="1">
      <alignment horizontal="left" vertical="center"/>
    </xf>
    <xf numFmtId="0" fontId="55" fillId="0" borderId="41" xfId="0" applyFont="1" applyBorder="1" applyAlignment="1">
      <alignment horizontal="left" vertical="center"/>
    </xf>
    <xf numFmtId="0" fontId="55" fillId="0" borderId="71" xfId="0" applyFont="1" applyBorder="1" applyAlignment="1">
      <alignment horizontal="left" vertical="center"/>
    </xf>
    <xf numFmtId="43" fontId="55" fillId="0" borderId="16" xfId="1" applyFont="1" applyBorder="1" applyAlignment="1">
      <alignment horizontal="left" vertical="center"/>
    </xf>
    <xf numFmtId="0" fontId="62" fillId="0" borderId="0" xfId="0" applyFont="1" applyAlignment="1">
      <alignment horizontal="justify" vertical="center"/>
    </xf>
    <xf numFmtId="0" fontId="56" fillId="4" borderId="0" xfId="0" applyFont="1" applyFill="1" applyAlignment="1">
      <alignment vertical="center"/>
    </xf>
    <xf numFmtId="0" fontId="56" fillId="29" borderId="7" xfId="0" applyFont="1" applyFill="1" applyBorder="1" applyAlignment="1">
      <alignment vertical="center"/>
    </xf>
    <xf numFmtId="0" fontId="56" fillId="29" borderId="0" xfId="0" applyFont="1" applyFill="1" applyAlignment="1">
      <alignment vertical="center"/>
    </xf>
    <xf numFmtId="0" fontId="57" fillId="29" borderId="5" xfId="0" applyFont="1" applyFill="1" applyBorder="1" applyAlignment="1">
      <alignment horizontal="right" vertical="center"/>
    </xf>
    <xf numFmtId="43" fontId="56" fillId="29" borderId="132" xfId="1" applyFont="1" applyFill="1" applyBorder="1" applyAlignment="1">
      <alignment horizontal="left" vertical="center"/>
    </xf>
    <xf numFmtId="0" fontId="62" fillId="0" borderId="0" xfId="0" applyFont="1" applyAlignment="1">
      <alignment horizontal="left" vertical="center"/>
    </xf>
    <xf numFmtId="0" fontId="55" fillId="4" borderId="0" xfId="0" applyFont="1" applyFill="1" applyAlignment="1">
      <alignment horizontal="left" vertical="center"/>
    </xf>
    <xf numFmtId="0" fontId="55" fillId="4" borderId="0" xfId="0" applyFont="1" applyFill="1" applyAlignment="1">
      <alignment horizontal="justify" vertical="center"/>
    </xf>
    <xf numFmtId="43" fontId="55" fillId="4" borderId="0" xfId="1" applyFont="1" applyFill="1" applyBorder="1" applyAlignment="1">
      <alignment horizontal="left" vertical="center"/>
    </xf>
    <xf numFmtId="0" fontId="55" fillId="0" borderId="8" xfId="0" applyFont="1" applyBorder="1" applyAlignment="1">
      <alignment horizontal="left" vertical="center"/>
    </xf>
    <xf numFmtId="0" fontId="55" fillId="0" borderId="9" xfId="0" applyFont="1" applyBorder="1" applyAlignment="1">
      <alignment horizontal="left" vertical="center"/>
    </xf>
    <xf numFmtId="0" fontId="55" fillId="0" borderId="14" xfId="0" applyFont="1" applyBorder="1" applyAlignment="1">
      <alignment horizontal="left" vertical="center"/>
    </xf>
    <xf numFmtId="0" fontId="55" fillId="0" borderId="42" xfId="0" applyFont="1" applyBorder="1" applyAlignment="1">
      <alignment horizontal="left" vertical="center"/>
    </xf>
    <xf numFmtId="0" fontId="55" fillId="0" borderId="66" xfId="0" applyFont="1" applyBorder="1" applyAlignment="1">
      <alignment horizontal="left" vertical="center"/>
    </xf>
    <xf numFmtId="43" fontId="55" fillId="0" borderId="10" xfId="1" applyFont="1" applyBorder="1" applyAlignment="1">
      <alignment horizontal="left" vertical="center"/>
    </xf>
    <xf numFmtId="43" fontId="55" fillId="0" borderId="0" xfId="1" applyFont="1" applyAlignment="1">
      <alignment horizontal="left" vertical="center"/>
    </xf>
    <xf numFmtId="43" fontId="55" fillId="0" borderId="0" xfId="0" applyNumberFormat="1" applyFont="1" applyAlignment="1">
      <alignment horizontal="left" vertical="center"/>
    </xf>
    <xf numFmtId="0" fontId="34" fillId="0" borderId="8" xfId="0" applyFont="1" applyBorder="1" applyAlignment="1">
      <alignment vertical="center"/>
    </xf>
    <xf numFmtId="0" fontId="34" fillId="0" borderId="9" xfId="0" applyFont="1" applyBorder="1" applyAlignment="1">
      <alignment vertical="center"/>
    </xf>
    <xf numFmtId="0" fontId="34" fillId="0" borderId="14" xfId="0" applyFont="1" applyBorder="1" applyAlignment="1">
      <alignment vertical="center"/>
    </xf>
    <xf numFmtId="0" fontId="34" fillId="0" borderId="141" xfId="0" applyFont="1" applyBorder="1" applyAlignment="1">
      <alignment vertical="center"/>
    </xf>
    <xf numFmtId="0" fontId="34" fillId="0" borderId="10" xfId="0" applyFont="1" applyBorder="1" applyAlignment="1">
      <alignment vertical="center"/>
    </xf>
    <xf numFmtId="43" fontId="30" fillId="0" borderId="0" xfId="0" applyNumberFormat="1" applyFont="1" applyAlignment="1">
      <alignment vertical="center"/>
    </xf>
    <xf numFmtId="0" fontId="48" fillId="0" borderId="92" xfId="0" applyFont="1" applyBorder="1" applyAlignment="1">
      <alignment horizontal="center" vertical="center" wrapText="1"/>
    </xf>
    <xf numFmtId="43" fontId="40" fillId="0" borderId="92" xfId="1" applyFont="1" applyBorder="1" applyAlignment="1">
      <alignment horizontal="center" vertical="center" wrapText="1"/>
    </xf>
    <xf numFmtId="43" fontId="42" fillId="0" borderId="0" xfId="0" applyNumberFormat="1" applyFont="1" applyAlignment="1">
      <alignment horizontal="left" vertical="center"/>
    </xf>
    <xf numFmtId="43" fontId="7" fillId="0" borderId="0" xfId="1" applyFont="1" applyAlignment="1" applyProtection="1">
      <alignment vertical="center"/>
    </xf>
    <xf numFmtId="43" fontId="42" fillId="0" borderId="0" xfId="1" applyFont="1" applyAlignment="1">
      <alignment horizontal="left" vertical="center"/>
    </xf>
    <xf numFmtId="180" fontId="42" fillId="0" borderId="0" xfId="0" applyNumberFormat="1" applyFont="1" applyAlignment="1">
      <alignment horizontal="left" vertical="center"/>
    </xf>
    <xf numFmtId="179" fontId="59" fillId="0" borderId="0" xfId="1" applyNumberFormat="1" applyFont="1" applyBorder="1" applyAlignment="1">
      <alignment vertical="center"/>
    </xf>
    <xf numFmtId="43" fontId="30" fillId="0" borderId="0" xfId="1" applyFont="1" applyFill="1" applyAlignment="1" applyProtection="1">
      <alignment horizontal="right" vertical="center"/>
    </xf>
    <xf numFmtId="43" fontId="34" fillId="0" borderId="0" xfId="1" applyFont="1" applyFill="1" applyAlignment="1" applyProtection="1">
      <alignment horizontal="center" vertical="center"/>
    </xf>
    <xf numFmtId="4" fontId="30" fillId="0" borderId="0" xfId="0" applyNumberFormat="1" applyFont="1" applyAlignment="1">
      <alignment vertical="center"/>
    </xf>
    <xf numFmtId="173" fontId="39" fillId="0" borderId="0" xfId="92" applyFont="1" applyAlignment="1">
      <alignment vertical="center"/>
    </xf>
    <xf numFmtId="173" fontId="7" fillId="0" borderId="0" xfId="92" applyFont="1" applyAlignment="1">
      <alignment vertical="center"/>
    </xf>
    <xf numFmtId="43" fontId="0" fillId="0" borderId="0" xfId="1" applyFont="1" applyAlignment="1">
      <alignment vertical="center"/>
    </xf>
    <xf numFmtId="43" fontId="39" fillId="0" borderId="0" xfId="1" applyFont="1" applyFill="1" applyAlignment="1" applyProtection="1">
      <alignment vertical="center"/>
    </xf>
    <xf numFmtId="43" fontId="7" fillId="0" borderId="0" xfId="1" applyFont="1" applyFill="1" applyAlignment="1" applyProtection="1">
      <alignment vertical="center"/>
    </xf>
    <xf numFmtId="43" fontId="31" fillId="4" borderId="0" xfId="1" applyFont="1" applyFill="1" applyBorder="1" applyAlignment="1">
      <alignment vertical="center"/>
    </xf>
    <xf numFmtId="173" fontId="44" fillId="3" borderId="0" xfId="92" applyFont="1" applyFill="1" applyAlignment="1">
      <alignment vertical="center" wrapText="1"/>
    </xf>
    <xf numFmtId="173" fontId="30" fillId="0" borderId="0" xfId="92" applyFont="1" applyAlignment="1">
      <alignment vertical="center" wrapText="1"/>
    </xf>
    <xf numFmtId="173" fontId="36" fillId="0" borderId="0" xfId="92" applyFont="1" applyAlignment="1">
      <alignment vertical="center"/>
    </xf>
    <xf numFmtId="43" fontId="36" fillId="0" borderId="0" xfId="1" applyFont="1" applyFill="1" applyAlignment="1" applyProtection="1">
      <alignment vertical="center"/>
    </xf>
    <xf numFmtId="164" fontId="30" fillId="0" borderId="7" xfId="190" applyFont="1" applyFill="1" applyBorder="1" applyAlignment="1" applyProtection="1">
      <alignment vertical="center" wrapText="1"/>
    </xf>
    <xf numFmtId="164" fontId="30" fillId="0" borderId="15" xfId="190" applyFont="1" applyFill="1" applyBorder="1" applyAlignment="1" applyProtection="1">
      <alignment vertical="center" wrapText="1"/>
    </xf>
    <xf numFmtId="173" fontId="34" fillId="0" borderId="7" xfId="92" applyFont="1" applyBorder="1" applyAlignment="1">
      <alignment horizontal="left" vertical="center"/>
    </xf>
    <xf numFmtId="173" fontId="34" fillId="0" borderId="0" xfId="92" applyFont="1" applyAlignment="1">
      <alignment horizontal="left" vertical="center" wrapText="1"/>
    </xf>
    <xf numFmtId="43" fontId="38" fillId="0" borderId="0" xfId="1" applyFont="1" applyFill="1" applyAlignment="1" applyProtection="1">
      <alignment vertical="center"/>
    </xf>
    <xf numFmtId="164" fontId="30" fillId="0" borderId="8" xfId="190" applyFont="1" applyFill="1" applyBorder="1" applyAlignment="1" applyProtection="1">
      <alignment vertical="center" wrapText="1"/>
    </xf>
    <xf numFmtId="164" fontId="30" fillId="0" borderId="9" xfId="190" applyFont="1" applyFill="1" applyBorder="1" applyAlignment="1" applyProtection="1">
      <alignment vertical="center" wrapText="1"/>
    </xf>
    <xf numFmtId="164" fontId="30" fillId="0" borderId="10" xfId="190" applyFont="1" applyFill="1" applyBorder="1" applyAlignment="1" applyProtection="1">
      <alignment vertical="center" wrapText="1"/>
    </xf>
    <xf numFmtId="43" fontId="30" fillId="0" borderId="0" xfId="1" applyFont="1" applyFill="1" applyBorder="1" applyAlignment="1" applyProtection="1">
      <alignment vertical="center"/>
    </xf>
    <xf numFmtId="0" fontId="34" fillId="0" borderId="0" xfId="152" applyFont="1" applyAlignment="1">
      <alignment horizontal="center" vertical="center"/>
    </xf>
    <xf numFmtId="9" fontId="30" fillId="0" borderId="0" xfId="195" applyFont="1" applyFill="1" applyBorder="1" applyAlignment="1" applyProtection="1">
      <alignment horizontal="center" vertical="center"/>
    </xf>
    <xf numFmtId="173" fontId="34" fillId="28" borderId="8" xfId="92" applyFont="1" applyFill="1" applyBorder="1" applyAlignment="1">
      <alignment horizontal="left" vertical="center"/>
    </xf>
    <xf numFmtId="173" fontId="34" fillId="28" borderId="9" xfId="92" applyFont="1" applyFill="1" applyBorder="1" applyAlignment="1">
      <alignment horizontal="center" vertical="center"/>
    </xf>
    <xf numFmtId="177" fontId="34" fillId="0" borderId="0" xfId="195" applyNumberFormat="1" applyFont="1" applyFill="1" applyBorder="1" applyAlignment="1" applyProtection="1">
      <alignment horizontal="center" vertical="center"/>
    </xf>
    <xf numFmtId="43" fontId="7" fillId="0" borderId="0" xfId="1" applyFont="1" applyFill="1" applyBorder="1" applyAlignment="1" applyProtection="1">
      <alignment vertical="center"/>
    </xf>
    <xf numFmtId="9" fontId="7" fillId="0" borderId="0" xfId="144" applyFont="1" applyAlignment="1" applyProtection="1">
      <alignment vertical="center"/>
    </xf>
    <xf numFmtId="10" fontId="7" fillId="0" borderId="0" xfId="144" applyNumberFormat="1" applyFont="1" applyAlignment="1" applyProtection="1">
      <alignment vertical="center"/>
    </xf>
    <xf numFmtId="0" fontId="34" fillId="0" borderId="0" xfId="152" applyFont="1" applyAlignment="1">
      <alignment horizontal="left" vertical="center"/>
    </xf>
    <xf numFmtId="0" fontId="34" fillId="0" borderId="0" xfId="152" applyFont="1" applyAlignment="1">
      <alignment vertical="center"/>
    </xf>
    <xf numFmtId="173" fontId="46" fillId="0" borderId="0" xfId="92" applyFont="1" applyAlignment="1">
      <alignment vertical="center"/>
    </xf>
    <xf numFmtId="43" fontId="13" fillId="0" borderId="0" xfId="1" applyFont="1" applyAlignment="1" applyProtection="1">
      <alignment vertical="center"/>
    </xf>
    <xf numFmtId="0" fontId="30" fillId="0" borderId="0" xfId="152" applyFont="1" applyAlignment="1">
      <alignment horizontal="left" vertical="center"/>
    </xf>
    <xf numFmtId="173" fontId="44" fillId="0" borderId="0" xfId="92" applyFont="1" applyAlignment="1">
      <alignment vertical="center" wrapText="1"/>
    </xf>
    <xf numFmtId="10" fontId="34" fillId="0" borderId="0" xfId="144" applyNumberFormat="1" applyFont="1" applyFill="1" applyBorder="1" applyAlignment="1" applyProtection="1">
      <alignment horizontal="center" vertical="center"/>
    </xf>
    <xf numFmtId="173" fontId="35" fillId="0" borderId="0" xfId="92" applyFont="1" applyAlignment="1">
      <alignment vertical="center"/>
    </xf>
    <xf numFmtId="173" fontId="37" fillId="0" borderId="0" xfId="92" applyFont="1" applyAlignment="1">
      <alignment vertical="center"/>
    </xf>
    <xf numFmtId="173" fontId="38" fillId="0" borderId="0" xfId="92" applyFont="1" applyAlignment="1">
      <alignment vertical="center"/>
    </xf>
    <xf numFmtId="43" fontId="57" fillId="0" borderId="17" xfId="0" applyNumberFormat="1" applyFont="1" applyBorder="1" applyAlignment="1">
      <alignment horizontal="left" vertical="center"/>
    </xf>
    <xf numFmtId="43" fontId="57" fillId="0" borderId="16" xfId="1" applyFont="1" applyBorder="1" applyAlignment="1">
      <alignment horizontal="left" vertical="center"/>
    </xf>
    <xf numFmtId="0" fontId="57" fillId="0" borderId="0" xfId="0" applyFont="1" applyAlignment="1">
      <alignment horizontal="right" vertical="center"/>
    </xf>
    <xf numFmtId="10" fontId="57" fillId="0" borderId="0" xfId="144" applyNumberFormat="1" applyFont="1" applyBorder="1" applyAlignment="1">
      <alignment horizontal="right" vertical="center"/>
    </xf>
    <xf numFmtId="0" fontId="55" fillId="0" borderId="15" xfId="0" applyFont="1" applyBorder="1" applyAlignment="1">
      <alignment horizontal="left" vertical="center"/>
    </xf>
    <xf numFmtId="0" fontId="56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30" fillId="4" borderId="0" xfId="0" applyFont="1" applyFill="1" applyAlignment="1">
      <alignment vertical="center"/>
    </xf>
    <xf numFmtId="0" fontId="30" fillId="28" borderId="27" xfId="0" applyFont="1" applyFill="1" applyBorder="1" applyAlignment="1">
      <alignment horizontal="center" vertical="center" wrapText="1"/>
    </xf>
    <xf numFmtId="0" fontId="30" fillId="28" borderId="142" xfId="0" applyFont="1" applyFill="1" applyBorder="1" applyAlignment="1">
      <alignment horizontal="center" vertical="center" wrapText="1"/>
    </xf>
    <xf numFmtId="0" fontId="30" fillId="4" borderId="105" xfId="0" applyFont="1" applyFill="1" applyBorder="1" applyAlignment="1">
      <alignment horizontal="center" vertical="center" wrapText="1"/>
    </xf>
    <xf numFmtId="0" fontId="30" fillId="4" borderId="144" xfId="0" applyFont="1" applyFill="1" applyBorder="1" applyAlignment="1">
      <alignment horizontal="left" vertical="center" wrapText="1"/>
    </xf>
    <xf numFmtId="10" fontId="30" fillId="4" borderId="144" xfId="0" applyNumberFormat="1" applyFont="1" applyFill="1" applyBorder="1" applyAlignment="1">
      <alignment horizontal="center" vertical="center" shrinkToFit="1"/>
    </xf>
    <xf numFmtId="10" fontId="30" fillId="4" borderId="145" xfId="0" applyNumberFormat="1" applyFont="1" applyFill="1" applyBorder="1" applyAlignment="1">
      <alignment horizontal="center" vertical="center" shrinkToFit="1"/>
    </xf>
    <xf numFmtId="0" fontId="34" fillId="4" borderId="105" xfId="0" applyFont="1" applyFill="1" applyBorder="1" applyAlignment="1">
      <alignment horizontal="center" vertical="center" wrapText="1"/>
    </xf>
    <xf numFmtId="0" fontId="34" fillId="4" borderId="144" xfId="0" applyFont="1" applyFill="1" applyBorder="1" applyAlignment="1">
      <alignment horizontal="center" vertical="center" wrapText="1"/>
    </xf>
    <xf numFmtId="10" fontId="34" fillId="4" borderId="144" xfId="0" applyNumberFormat="1" applyFont="1" applyFill="1" applyBorder="1" applyAlignment="1">
      <alignment horizontal="center" vertical="center" shrinkToFit="1"/>
    </xf>
    <xf numFmtId="10" fontId="34" fillId="4" borderId="145" xfId="0" applyNumberFormat="1" applyFont="1" applyFill="1" applyBorder="1" applyAlignment="1">
      <alignment horizontal="center" vertical="center" shrinkToFit="1"/>
    </xf>
    <xf numFmtId="0" fontId="30" fillId="4" borderId="144" xfId="0" applyFont="1" applyFill="1" applyBorder="1" applyAlignment="1">
      <alignment horizontal="center" vertical="center" wrapText="1"/>
    </xf>
    <xf numFmtId="0" fontId="30" fillId="4" borderId="145" xfId="0" applyFont="1" applyFill="1" applyBorder="1" applyAlignment="1">
      <alignment horizontal="center" vertical="center" wrapText="1"/>
    </xf>
    <xf numFmtId="0" fontId="30" fillId="4" borderId="144" xfId="0" applyFont="1" applyFill="1" applyBorder="1" applyAlignment="1">
      <alignment horizontal="justify" vertical="center" wrapText="1"/>
    </xf>
    <xf numFmtId="10" fontId="34" fillId="28" borderId="27" xfId="0" applyNumberFormat="1" applyFont="1" applyFill="1" applyBorder="1" applyAlignment="1">
      <alignment horizontal="center" vertical="center" shrinkToFit="1"/>
    </xf>
    <xf numFmtId="10" fontId="34" fillId="28" borderId="142" xfId="0" applyNumberFormat="1" applyFont="1" applyFill="1" applyBorder="1" applyAlignment="1">
      <alignment horizontal="center" vertical="center" shrinkToFit="1"/>
    </xf>
    <xf numFmtId="43" fontId="30" fillId="0" borderId="0" xfId="1" applyFont="1" applyAlignment="1">
      <alignment horizontal="left" vertical="center"/>
    </xf>
    <xf numFmtId="0" fontId="1" fillId="0" borderId="0" xfId="0" applyFont="1" applyAlignment="1">
      <alignment vertical="center"/>
    </xf>
    <xf numFmtId="0" fontId="52" fillId="4" borderId="0" xfId="9" quotePrefix="1" applyFont="1" applyFill="1" applyAlignment="1">
      <alignment vertical="center"/>
    </xf>
    <xf numFmtId="0" fontId="52" fillId="4" borderId="0" xfId="0" applyFont="1" applyFill="1" applyAlignment="1">
      <alignment vertical="center"/>
    </xf>
    <xf numFmtId="4" fontId="34" fillId="4" borderId="39" xfId="26" applyNumberFormat="1" applyFont="1" applyFill="1" applyBorder="1" applyAlignment="1">
      <alignment vertical="center"/>
    </xf>
    <xf numFmtId="0" fontId="53" fillId="30" borderId="94" xfId="0" applyFont="1" applyFill="1" applyBorder="1" applyAlignment="1">
      <alignment horizontal="center" vertical="center" wrapText="1"/>
    </xf>
    <xf numFmtId="0" fontId="54" fillId="30" borderId="95" xfId="0" applyFont="1" applyFill="1" applyBorder="1" applyAlignment="1">
      <alignment horizontal="center" vertical="center" wrapText="1"/>
    </xf>
    <xf numFmtId="0" fontId="53" fillId="30" borderId="95" xfId="0" applyFont="1" applyFill="1" applyBorder="1" applyAlignment="1">
      <alignment horizontal="justify" vertical="center" wrapText="1"/>
    </xf>
    <xf numFmtId="0" fontId="55" fillId="30" borderId="95" xfId="0" applyFont="1" applyFill="1" applyBorder="1" applyAlignment="1">
      <alignment horizontal="center" vertical="center" wrapText="1"/>
    </xf>
    <xf numFmtId="43" fontId="55" fillId="30" borderId="96" xfId="1" applyFont="1" applyFill="1" applyBorder="1" applyAlignment="1">
      <alignment horizontal="center" vertical="center" wrapText="1"/>
    </xf>
    <xf numFmtId="0" fontId="55" fillId="30" borderId="94" xfId="0" applyFont="1" applyFill="1" applyBorder="1" applyAlignment="1">
      <alignment horizontal="center" vertical="center" wrapText="1"/>
    </xf>
    <xf numFmtId="0" fontId="55" fillId="30" borderId="129" xfId="0" applyFont="1" applyFill="1" applyBorder="1" applyAlignment="1">
      <alignment horizontal="center" vertical="center" wrapText="1"/>
    </xf>
    <xf numFmtId="10" fontId="57" fillId="30" borderId="97" xfId="144" applyNumberFormat="1" applyFont="1" applyFill="1" applyBorder="1" applyAlignment="1">
      <alignment horizontal="right" vertical="center"/>
    </xf>
    <xf numFmtId="43" fontId="57" fillId="30" borderId="129" xfId="200" applyNumberFormat="1" applyFont="1" applyFill="1" applyBorder="1" applyAlignment="1">
      <alignment horizontal="center" vertical="center" wrapText="1"/>
    </xf>
    <xf numFmtId="0" fontId="57" fillId="30" borderId="94" xfId="0" applyFont="1" applyFill="1" applyBorder="1" applyAlignment="1">
      <alignment horizontal="center" vertical="center" wrapText="1"/>
    </xf>
    <xf numFmtId="0" fontId="57" fillId="30" borderId="95" xfId="0" applyFont="1" applyFill="1" applyBorder="1" applyAlignment="1">
      <alignment horizontal="center" vertical="center" wrapText="1"/>
    </xf>
    <xf numFmtId="0" fontId="57" fillId="30" borderId="129" xfId="0" applyFont="1" applyFill="1" applyBorder="1" applyAlignment="1">
      <alignment horizontal="center" vertical="center" wrapText="1"/>
    </xf>
    <xf numFmtId="0" fontId="53" fillId="36" borderId="94" xfId="0" applyFont="1" applyFill="1" applyBorder="1" applyAlignment="1">
      <alignment horizontal="center" vertical="center" wrapText="1"/>
    </xf>
    <xf numFmtId="0" fontId="54" fillId="36" borderId="95" xfId="0" applyFont="1" applyFill="1" applyBorder="1" applyAlignment="1">
      <alignment horizontal="center" vertical="center" wrapText="1"/>
    </xf>
    <xf numFmtId="0" fontId="53" fillId="36" borderId="95" xfId="0" applyFont="1" applyFill="1" applyBorder="1" applyAlignment="1">
      <alignment horizontal="justify" vertical="center" wrapText="1"/>
    </xf>
    <xf numFmtId="0" fontId="55" fillId="36" borderId="95" xfId="0" applyFont="1" applyFill="1" applyBorder="1" applyAlignment="1">
      <alignment horizontal="center" vertical="center" wrapText="1"/>
    </xf>
    <xf numFmtId="43" fontId="55" fillId="36" borderId="96" xfId="1" applyFont="1" applyFill="1" applyBorder="1" applyAlignment="1">
      <alignment horizontal="center" vertical="center" wrapText="1"/>
    </xf>
    <xf numFmtId="0" fontId="55" fillId="36" borderId="94" xfId="0" applyFont="1" applyFill="1" applyBorder="1" applyAlignment="1">
      <alignment horizontal="center" vertical="center" wrapText="1"/>
    </xf>
    <xf numFmtId="0" fontId="55" fillId="36" borderId="129" xfId="0" applyFont="1" applyFill="1" applyBorder="1" applyAlignment="1">
      <alignment horizontal="center" vertical="center" wrapText="1"/>
    </xf>
    <xf numFmtId="10" fontId="57" fillId="36" borderId="97" xfId="144" applyNumberFormat="1" applyFont="1" applyFill="1" applyBorder="1" applyAlignment="1">
      <alignment horizontal="right" vertical="center"/>
    </xf>
    <xf numFmtId="4" fontId="54" fillId="36" borderId="94" xfId="0" applyNumberFormat="1" applyFont="1" applyFill="1" applyBorder="1" applyAlignment="1">
      <alignment vertical="center" wrapText="1"/>
    </xf>
    <xf numFmtId="4" fontId="54" fillId="36" borderId="95" xfId="0" applyNumberFormat="1" applyFont="1" applyFill="1" applyBorder="1" applyAlignment="1">
      <alignment horizontal="right" vertical="center" wrapText="1"/>
    </xf>
    <xf numFmtId="4" fontId="54" fillId="36" borderId="129" xfId="0" applyNumberFormat="1" applyFont="1" applyFill="1" applyBorder="1" applyAlignment="1">
      <alignment horizontal="right" vertical="center" wrapText="1"/>
    </xf>
    <xf numFmtId="4" fontId="54" fillId="30" borderId="95" xfId="0" applyNumberFormat="1" applyFont="1" applyFill="1" applyBorder="1" applyAlignment="1">
      <alignment horizontal="right" vertical="center" wrapText="1"/>
    </xf>
    <xf numFmtId="4" fontId="54" fillId="30" borderId="129" xfId="0" applyNumberFormat="1" applyFont="1" applyFill="1" applyBorder="1" applyAlignment="1">
      <alignment horizontal="right" vertical="center" wrapText="1"/>
    </xf>
    <xf numFmtId="0" fontId="53" fillId="30" borderId="95" xfId="0" applyFont="1" applyFill="1" applyBorder="1" applyAlignment="1">
      <alignment horizontal="center" vertical="center" wrapText="1"/>
    </xf>
    <xf numFmtId="43" fontId="57" fillId="30" borderId="96" xfId="1" applyFont="1" applyFill="1" applyBorder="1" applyAlignment="1">
      <alignment horizontal="center" vertical="center" wrapText="1"/>
    </xf>
    <xf numFmtId="4" fontId="53" fillId="30" borderId="95" xfId="0" applyNumberFormat="1" applyFont="1" applyFill="1" applyBorder="1" applyAlignment="1">
      <alignment horizontal="right" vertical="center" wrapText="1"/>
    </xf>
    <xf numFmtId="4" fontId="53" fillId="30" borderId="129" xfId="0" applyNumberFormat="1" applyFont="1" applyFill="1" applyBorder="1" applyAlignment="1">
      <alignment horizontal="right" vertical="center" wrapText="1"/>
    </xf>
    <xf numFmtId="43" fontId="54" fillId="36" borderId="96" xfId="1" applyFont="1" applyFill="1" applyBorder="1" applyAlignment="1">
      <alignment horizontal="right" vertical="center" wrapText="1"/>
    </xf>
    <xf numFmtId="0" fontId="53" fillId="36" borderId="95" xfId="0" applyFont="1" applyFill="1" applyBorder="1" applyAlignment="1">
      <alignment horizontal="center" vertical="center" wrapText="1"/>
    </xf>
    <xf numFmtId="1" fontId="53" fillId="36" borderId="95" xfId="0" applyNumberFormat="1" applyFont="1" applyFill="1" applyBorder="1" applyAlignment="1">
      <alignment horizontal="center" vertical="center" wrapText="1"/>
    </xf>
    <xf numFmtId="3" fontId="53" fillId="36" borderId="94" xfId="0" applyNumberFormat="1" applyFont="1" applyFill="1" applyBorder="1" applyAlignment="1">
      <alignment horizontal="center" vertical="center" wrapText="1"/>
    </xf>
    <xf numFmtId="2" fontId="55" fillId="0" borderId="95" xfId="0" applyNumberFormat="1" applyFont="1" applyBorder="1" applyAlignment="1">
      <alignment horizontal="center" vertical="center" wrapText="1"/>
    </xf>
    <xf numFmtId="0" fontId="64" fillId="32" borderId="138" xfId="0" applyFont="1" applyFill="1" applyBorder="1" applyAlignment="1">
      <alignment horizontal="right" vertical="top" wrapText="1"/>
    </xf>
    <xf numFmtId="0" fontId="64" fillId="32" borderId="138" xfId="0" applyFont="1" applyFill="1" applyBorder="1" applyAlignment="1">
      <alignment horizontal="center" vertical="top" wrapText="1"/>
    </xf>
    <xf numFmtId="0" fontId="65" fillId="33" borderId="138" xfId="0" applyFont="1" applyFill="1" applyBorder="1" applyAlignment="1">
      <alignment horizontal="right" vertical="top" wrapText="1"/>
    </xf>
    <xf numFmtId="0" fontId="65" fillId="33" borderId="138" xfId="0" applyFont="1" applyFill="1" applyBorder="1" applyAlignment="1">
      <alignment horizontal="center" vertical="top" wrapText="1"/>
    </xf>
    <xf numFmtId="178" fontId="65" fillId="33" borderId="138" xfId="0" applyNumberFormat="1" applyFont="1" applyFill="1" applyBorder="1" applyAlignment="1">
      <alignment horizontal="right" vertical="top" wrapText="1"/>
    </xf>
    <xf numFmtId="4" fontId="65" fillId="33" borderId="138" xfId="0" applyNumberFormat="1" applyFont="1" applyFill="1" applyBorder="1" applyAlignment="1">
      <alignment horizontal="right" vertical="top" wrapText="1"/>
    </xf>
    <xf numFmtId="0" fontId="66" fillId="34" borderId="138" xfId="0" applyFont="1" applyFill="1" applyBorder="1" applyAlignment="1">
      <alignment horizontal="right" vertical="top" wrapText="1"/>
    </xf>
    <xf numFmtId="0" fontId="66" fillId="34" borderId="138" xfId="0" applyFont="1" applyFill="1" applyBorder="1" applyAlignment="1">
      <alignment horizontal="center" vertical="top" wrapText="1"/>
    </xf>
    <xf numFmtId="178" fontId="66" fillId="34" borderId="138" xfId="0" applyNumberFormat="1" applyFont="1" applyFill="1" applyBorder="1" applyAlignment="1">
      <alignment horizontal="right" vertical="top" wrapText="1"/>
    </xf>
    <xf numFmtId="4" fontId="66" fillId="34" borderId="138" xfId="0" applyNumberFormat="1" applyFont="1" applyFill="1" applyBorder="1" applyAlignment="1">
      <alignment horizontal="right" vertical="top" wrapText="1"/>
    </xf>
    <xf numFmtId="0" fontId="66" fillId="35" borderId="138" xfId="0" applyFont="1" applyFill="1" applyBorder="1" applyAlignment="1">
      <alignment horizontal="right" vertical="top" wrapText="1"/>
    </xf>
    <xf numFmtId="0" fontId="66" fillId="35" borderId="138" xfId="0" applyFont="1" applyFill="1" applyBorder="1" applyAlignment="1">
      <alignment horizontal="center" vertical="top" wrapText="1"/>
    </xf>
    <xf numFmtId="178" fontId="66" fillId="35" borderId="138" xfId="0" applyNumberFormat="1" applyFont="1" applyFill="1" applyBorder="1" applyAlignment="1">
      <alignment horizontal="right" vertical="top" wrapText="1"/>
    </xf>
    <xf numFmtId="4" fontId="66" fillId="35" borderId="138" xfId="0" applyNumberFormat="1" applyFont="1" applyFill="1" applyBorder="1" applyAlignment="1">
      <alignment horizontal="right" vertical="top" wrapText="1"/>
    </xf>
    <xf numFmtId="4" fontId="66" fillId="32" borderId="0" xfId="0" applyNumberFormat="1" applyFont="1" applyFill="1" applyAlignment="1">
      <alignment horizontal="right" vertical="top" wrapText="1"/>
    </xf>
    <xf numFmtId="0" fontId="65" fillId="33" borderId="139" xfId="0" applyFont="1" applyFill="1" applyBorder="1" applyAlignment="1">
      <alignment horizontal="left" vertical="top" wrapText="1"/>
    </xf>
    <xf numFmtId="43" fontId="40" fillId="0" borderId="149" xfId="1" applyFont="1" applyBorder="1" applyAlignment="1">
      <alignment horizontal="center" vertical="center" wrapText="1"/>
    </xf>
    <xf numFmtId="9" fontId="41" fillId="29" borderId="59" xfId="144" applyFont="1" applyFill="1" applyBorder="1" applyAlignment="1">
      <alignment horizontal="left" vertical="center"/>
    </xf>
    <xf numFmtId="43" fontId="40" fillId="0" borderId="152" xfId="1" applyFont="1" applyBorder="1" applyAlignment="1">
      <alignment horizontal="center" vertical="center" wrapText="1"/>
    </xf>
    <xf numFmtId="43" fontId="40" fillId="0" borderId="153" xfId="1" applyFont="1" applyBorder="1" applyAlignment="1">
      <alignment horizontal="center" vertical="center" wrapText="1"/>
    </xf>
    <xf numFmtId="43" fontId="40" fillId="0" borderId="88" xfId="1" applyFont="1" applyBorder="1" applyAlignment="1">
      <alignment horizontal="center" vertical="center" wrapText="1"/>
    </xf>
    <xf numFmtId="10" fontId="40" fillId="0" borderId="154" xfId="144" applyNumberFormat="1" applyFont="1" applyBorder="1" applyAlignment="1">
      <alignment horizontal="right" vertical="center"/>
    </xf>
    <xf numFmtId="10" fontId="40" fillId="0" borderId="155" xfId="144" applyNumberFormat="1" applyFont="1" applyBorder="1" applyAlignment="1">
      <alignment horizontal="right" vertical="center"/>
    </xf>
    <xf numFmtId="164" fontId="30" fillId="0" borderId="113" xfId="22" applyFont="1" applyFill="1" applyBorder="1" applyAlignment="1">
      <alignment horizontal="center" vertical="center"/>
    </xf>
    <xf numFmtId="164" fontId="30" fillId="0" borderId="114" xfId="22" applyFont="1" applyFill="1" applyBorder="1" applyAlignment="1">
      <alignment horizontal="center" vertical="center"/>
    </xf>
    <xf numFmtId="164" fontId="30" fillId="0" borderId="25" xfId="22" applyFont="1" applyFill="1" applyBorder="1" applyAlignment="1">
      <alignment horizontal="center" vertical="center"/>
    </xf>
    <xf numFmtId="164" fontId="30" fillId="31" borderId="25" xfId="22" applyFont="1" applyFill="1" applyBorder="1" applyAlignment="1">
      <alignment vertical="center"/>
    </xf>
    <xf numFmtId="164" fontId="30" fillId="31" borderId="113" xfId="22" applyFont="1" applyFill="1" applyBorder="1" applyAlignment="1">
      <alignment vertical="center"/>
    </xf>
    <xf numFmtId="164" fontId="30" fillId="31" borderId="114" xfId="22" applyFont="1" applyFill="1" applyBorder="1" applyAlignment="1">
      <alignment vertical="center"/>
    </xf>
    <xf numFmtId="164" fontId="30" fillId="0" borderId="114" xfId="22" applyFont="1" applyFill="1" applyBorder="1" applyAlignment="1">
      <alignment vertical="center"/>
    </xf>
    <xf numFmtId="4" fontId="57" fillId="30" borderId="98" xfId="0" applyNumberFormat="1" applyFont="1" applyFill="1" applyBorder="1" applyAlignment="1">
      <alignment horizontal="right" vertical="center" wrapText="1"/>
    </xf>
    <xf numFmtId="4" fontId="53" fillId="30" borderId="94" xfId="0" applyNumberFormat="1" applyFont="1" applyFill="1" applyBorder="1" applyAlignment="1">
      <alignment horizontal="right" vertical="center" wrapText="1"/>
    </xf>
    <xf numFmtId="4" fontId="57" fillId="36" borderId="98" xfId="0" applyNumberFormat="1" applyFont="1" applyFill="1" applyBorder="1" applyAlignment="1">
      <alignment horizontal="right" vertical="center" wrapText="1"/>
    </xf>
    <xf numFmtId="4" fontId="54" fillId="36" borderId="94" xfId="0" applyNumberFormat="1" applyFont="1" applyFill="1" applyBorder="1" applyAlignment="1">
      <alignment horizontal="right" vertical="center" wrapText="1"/>
    </xf>
    <xf numFmtId="0" fontId="55" fillId="0" borderId="0" xfId="0" applyFont="1" applyAlignment="1">
      <alignment horizontal="right" vertical="center"/>
    </xf>
    <xf numFmtId="4" fontId="54" fillId="30" borderId="94" xfId="0" applyNumberFormat="1" applyFont="1" applyFill="1" applyBorder="1" applyAlignment="1">
      <alignment horizontal="right" vertical="center" wrapText="1"/>
    </xf>
    <xf numFmtId="0" fontId="55" fillId="30" borderId="94" xfId="0" applyFont="1" applyFill="1" applyBorder="1" applyAlignment="1">
      <alignment horizontal="right" vertical="center" wrapText="1"/>
    </xf>
    <xf numFmtId="0" fontId="55" fillId="30" borderId="95" xfId="0" applyFont="1" applyFill="1" applyBorder="1" applyAlignment="1">
      <alignment horizontal="right" vertical="center" wrapText="1"/>
    </xf>
    <xf numFmtId="0" fontId="55" fillId="30" borderId="129" xfId="0" applyFont="1" applyFill="1" applyBorder="1" applyAlignment="1">
      <alignment horizontal="right" vertical="center" wrapText="1"/>
    </xf>
    <xf numFmtId="0" fontId="55" fillId="36" borderId="94" xfId="0" applyFont="1" applyFill="1" applyBorder="1" applyAlignment="1">
      <alignment horizontal="right" vertical="center" wrapText="1"/>
    </xf>
    <xf numFmtId="0" fontId="55" fillId="36" borderId="95" xfId="0" applyFont="1" applyFill="1" applyBorder="1" applyAlignment="1">
      <alignment horizontal="right" vertical="center" wrapText="1"/>
    </xf>
    <xf numFmtId="0" fontId="55" fillId="36" borderId="129" xfId="0" applyFont="1" applyFill="1" applyBorder="1" applyAlignment="1">
      <alignment horizontal="right" vertical="center" wrapText="1"/>
    </xf>
    <xf numFmtId="0" fontId="57" fillId="30" borderId="94" xfId="0" applyFont="1" applyFill="1" applyBorder="1" applyAlignment="1">
      <alignment horizontal="right" vertical="center" wrapText="1"/>
    </xf>
    <xf numFmtId="0" fontId="57" fillId="30" borderId="95" xfId="0" applyFont="1" applyFill="1" applyBorder="1" applyAlignment="1">
      <alignment horizontal="right" vertical="center" wrapText="1"/>
    </xf>
    <xf numFmtId="0" fontId="57" fillId="30" borderId="129" xfId="0" applyFont="1" applyFill="1" applyBorder="1" applyAlignment="1">
      <alignment horizontal="right" vertical="center" wrapText="1"/>
    </xf>
    <xf numFmtId="43" fontId="57" fillId="30" borderId="129" xfId="200" applyNumberFormat="1" applyFont="1" applyFill="1" applyBorder="1" applyAlignment="1">
      <alignment horizontal="right" vertical="center" wrapText="1"/>
    </xf>
    <xf numFmtId="43" fontId="55" fillId="30" borderId="94" xfId="200" applyNumberFormat="1" applyFont="1" applyFill="1" applyBorder="1" applyAlignment="1">
      <alignment horizontal="right" vertical="center" wrapText="1"/>
    </xf>
    <xf numFmtId="43" fontId="55" fillId="30" borderId="95" xfId="200" applyNumberFormat="1" applyFont="1" applyFill="1" applyBorder="1" applyAlignment="1">
      <alignment horizontal="right" vertical="center" wrapText="1"/>
    </xf>
    <xf numFmtId="0" fontId="67" fillId="0" borderId="0" xfId="0" applyFont="1" applyAlignment="1">
      <alignment horizontal="left" vertical="top"/>
    </xf>
    <xf numFmtId="49" fontId="72" fillId="38" borderId="169" xfId="0" applyNumberFormat="1" applyFont="1" applyFill="1" applyBorder="1" applyAlignment="1">
      <alignment horizontal="center" vertical="center" wrapText="1"/>
    </xf>
    <xf numFmtId="0" fontId="72" fillId="38" borderId="169" xfId="0" applyFont="1" applyFill="1" applyBorder="1" applyAlignment="1">
      <alignment horizontal="center" vertical="center" wrapText="1"/>
    </xf>
    <xf numFmtId="49" fontId="76" fillId="0" borderId="169" xfId="0" applyNumberFormat="1" applyFont="1" applyBorder="1" applyAlignment="1">
      <alignment horizontal="center" vertical="center" wrapText="1"/>
    </xf>
    <xf numFmtId="49" fontId="72" fillId="0" borderId="169" xfId="0" applyNumberFormat="1" applyFont="1" applyBorder="1" applyAlignment="1">
      <alignment vertical="center" wrapText="1"/>
    </xf>
    <xf numFmtId="49" fontId="72" fillId="0" borderId="169" xfId="0" applyNumberFormat="1" applyFont="1" applyBorder="1" applyAlignment="1">
      <alignment horizontal="center" vertical="center" wrapText="1"/>
    </xf>
    <xf numFmtId="49" fontId="72" fillId="0" borderId="166" xfId="0" applyNumberFormat="1" applyFont="1" applyBorder="1" applyAlignment="1">
      <alignment vertical="center" wrapText="1"/>
    </xf>
    <xf numFmtId="4" fontId="54" fillId="0" borderId="94" xfId="0" applyNumberFormat="1" applyFont="1" applyBorder="1" applyAlignment="1">
      <alignment horizontal="right" vertical="center" wrapText="1"/>
    </xf>
    <xf numFmtId="0" fontId="55" fillId="0" borderId="94" xfId="0" applyFont="1" applyBorder="1" applyAlignment="1">
      <alignment horizontal="right" vertical="center" wrapText="1"/>
    </xf>
    <xf numFmtId="0" fontId="55" fillId="0" borderId="95" xfId="0" applyFont="1" applyBorder="1" applyAlignment="1">
      <alignment horizontal="right" vertical="center" wrapText="1"/>
    </xf>
    <xf numFmtId="43" fontId="47" fillId="27" borderId="14" xfId="1" applyFont="1" applyFill="1" applyBorder="1" applyAlignment="1">
      <alignment vertical="center"/>
    </xf>
    <xf numFmtId="43" fontId="47" fillId="27" borderId="141" xfId="1" applyFont="1" applyFill="1" applyBorder="1" applyAlignment="1">
      <alignment horizontal="left" vertical="center"/>
    </xf>
    <xf numFmtId="43" fontId="47" fillId="27" borderId="10" xfId="144" applyNumberFormat="1" applyFont="1" applyFill="1" applyBorder="1" applyAlignment="1">
      <alignment horizontal="center" vertical="center"/>
    </xf>
    <xf numFmtId="10" fontId="7" fillId="0" borderId="144" xfId="144" applyNumberFormat="1" applyFont="1" applyBorder="1" applyAlignment="1">
      <alignment horizontal="right" vertical="center"/>
    </xf>
    <xf numFmtId="10" fontId="7" fillId="0" borderId="144" xfId="1" applyNumberFormat="1" applyFont="1" applyBorder="1" applyAlignment="1">
      <alignment horizontal="right" vertical="center"/>
    </xf>
    <xf numFmtId="0" fontId="55" fillId="0" borderId="94" xfId="0" quotePrefix="1" applyFont="1" applyBorder="1" applyAlignment="1">
      <alignment horizontal="center" vertical="center" wrapText="1"/>
    </xf>
    <xf numFmtId="0" fontId="54" fillId="0" borderId="98" xfId="0" applyFont="1" applyBorder="1" applyAlignment="1">
      <alignment vertical="center" wrapText="1"/>
    </xf>
    <xf numFmtId="43" fontId="54" fillId="0" borderId="176" xfId="1" applyFont="1" applyBorder="1" applyAlignment="1">
      <alignment horizontal="right" vertical="center" wrapText="1"/>
    </xf>
    <xf numFmtId="4" fontId="54" fillId="0" borderId="94" xfId="0" applyNumberFormat="1" applyFont="1" applyBorder="1" applyAlignment="1">
      <alignment horizontal="center" vertical="center" wrapText="1"/>
    </xf>
    <xf numFmtId="4" fontId="54" fillId="0" borderId="95" xfId="0" applyNumberFormat="1" applyFont="1" applyBorder="1" applyAlignment="1">
      <alignment horizontal="center" vertical="center" wrapText="1"/>
    </xf>
    <xf numFmtId="9" fontId="55" fillId="0" borderId="0" xfId="0" applyNumberFormat="1" applyFont="1" applyAlignment="1">
      <alignment horizontal="left" vertical="center"/>
    </xf>
    <xf numFmtId="0" fontId="66" fillId="34" borderId="138" xfId="0" applyFont="1" applyFill="1" applyBorder="1" applyAlignment="1">
      <alignment horizontal="left" vertical="top" wrapText="1"/>
    </xf>
    <xf numFmtId="0" fontId="66" fillId="35" borderId="138" xfId="0" applyFont="1" applyFill="1" applyBorder="1" applyAlignment="1">
      <alignment horizontal="left" vertical="top" wrapText="1"/>
    </xf>
    <xf numFmtId="0" fontId="66" fillId="32" borderId="0" xfId="0" applyFont="1" applyFill="1" applyAlignment="1">
      <alignment horizontal="right" vertical="top" wrapText="1"/>
    </xf>
    <xf numFmtId="0" fontId="64" fillId="32" borderId="138" xfId="0" applyFont="1" applyFill="1" applyBorder="1" applyAlignment="1">
      <alignment horizontal="left" vertical="top" wrapText="1"/>
    </xf>
    <xf numFmtId="0" fontId="65" fillId="33" borderId="138" xfId="0" applyFont="1" applyFill="1" applyBorder="1" applyAlignment="1">
      <alignment horizontal="left" vertical="top" wrapText="1"/>
    </xf>
    <xf numFmtId="0" fontId="66" fillId="0" borderId="0" xfId="0" applyFont="1" applyAlignment="1">
      <alignment horizontal="left" vertical="top" wrapText="1"/>
    </xf>
    <xf numFmtId="0" fontId="66" fillId="0" borderId="0" xfId="0" applyFont="1" applyAlignment="1">
      <alignment horizontal="right" vertical="top" wrapText="1"/>
    </xf>
    <xf numFmtId="43" fontId="54" fillId="0" borderId="96" xfId="1" applyFont="1" applyFill="1" applyBorder="1" applyAlignment="1">
      <alignment horizontal="right" vertical="center" wrapText="1"/>
    </xf>
    <xf numFmtId="43" fontId="54" fillId="0" borderId="129" xfId="1" applyFont="1" applyFill="1" applyBorder="1" applyAlignment="1">
      <alignment horizontal="right" vertical="center" wrapText="1"/>
    </xf>
    <xf numFmtId="10" fontId="55" fillId="0" borderId="97" xfId="144" applyNumberFormat="1" applyFont="1" applyFill="1" applyBorder="1" applyAlignment="1">
      <alignment horizontal="right" vertical="center"/>
    </xf>
    <xf numFmtId="43" fontId="55" fillId="0" borderId="96" xfId="1" applyFont="1" applyFill="1" applyBorder="1" applyAlignment="1">
      <alignment horizontal="center" vertical="center" wrapText="1"/>
    </xf>
    <xf numFmtId="0" fontId="80" fillId="0" borderId="144" xfId="0" applyFont="1" applyBorder="1"/>
    <xf numFmtId="44" fontId="80" fillId="0" borderId="144" xfId="200" applyFont="1" applyBorder="1"/>
    <xf numFmtId="173" fontId="34" fillId="0" borderId="0" xfId="92" applyFont="1" applyAlignment="1">
      <alignment vertical="center" wrapText="1"/>
    </xf>
    <xf numFmtId="0" fontId="3" fillId="28" borderId="33" xfId="0" applyFont="1" applyFill="1" applyBorder="1" applyAlignment="1">
      <alignment horizontal="left" vertical="center"/>
    </xf>
    <xf numFmtId="0" fontId="3" fillId="28" borderId="30" xfId="0" applyFont="1" applyFill="1" applyBorder="1" applyAlignment="1">
      <alignment horizontal="left" vertical="center"/>
    </xf>
    <xf numFmtId="0" fontId="3" fillId="28" borderId="32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8" borderId="33" xfId="0" applyFont="1" applyFill="1" applyBorder="1" applyAlignment="1">
      <alignment horizontal="left" vertical="center" wrapText="1"/>
    </xf>
    <xf numFmtId="43" fontId="3" fillId="28" borderId="33" xfId="0" applyNumberFormat="1" applyFont="1" applyFill="1" applyBorder="1" applyAlignment="1">
      <alignment horizontal="center" vertical="center"/>
    </xf>
    <xf numFmtId="0" fontId="3" fillId="28" borderId="30" xfId="0" applyFont="1" applyFill="1" applyBorder="1" applyAlignment="1">
      <alignment horizontal="center" vertical="center"/>
    </xf>
    <xf numFmtId="0" fontId="3" fillId="28" borderId="32" xfId="0" applyFont="1" applyFill="1" applyBorder="1" applyAlignment="1">
      <alignment horizontal="center" vertical="center"/>
    </xf>
    <xf numFmtId="10" fontId="3" fillId="28" borderId="33" xfId="144" applyNumberFormat="1" applyFont="1" applyFill="1" applyBorder="1" applyAlignment="1">
      <alignment horizontal="center" vertical="center"/>
    </xf>
    <xf numFmtId="10" fontId="3" fillId="28" borderId="30" xfId="144" applyNumberFormat="1" applyFont="1" applyFill="1" applyBorder="1" applyAlignment="1">
      <alignment horizontal="center" vertical="center"/>
    </xf>
    <xf numFmtId="10" fontId="3" fillId="28" borderId="32" xfId="144" applyNumberFormat="1" applyFont="1" applyFill="1" applyBorder="1" applyAlignment="1">
      <alignment horizontal="center" vertical="center"/>
    </xf>
    <xf numFmtId="10" fontId="3" fillId="28" borderId="33" xfId="144" quotePrefix="1" applyNumberFormat="1" applyFont="1" applyFill="1" applyBorder="1" applyAlignment="1">
      <alignment horizontal="center" vertical="center"/>
    </xf>
    <xf numFmtId="14" fontId="3" fillId="28" borderId="33" xfId="0" quotePrefix="1" applyNumberFormat="1" applyFont="1" applyFill="1" applyBorder="1" applyAlignment="1">
      <alignment horizontal="center" vertical="center"/>
    </xf>
    <xf numFmtId="0" fontId="3" fillId="28" borderId="33" xfId="0" applyFont="1" applyFill="1" applyBorder="1" applyAlignment="1">
      <alignment horizontal="center" vertical="center"/>
    </xf>
    <xf numFmtId="16" fontId="3" fillId="28" borderId="33" xfId="0" quotePrefix="1" applyNumberFormat="1" applyFont="1" applyFill="1" applyBorder="1" applyAlignment="1">
      <alignment horizontal="center" vertical="center"/>
    </xf>
    <xf numFmtId="0" fontId="47" fillId="0" borderId="88" xfId="0" applyFont="1" applyBorder="1" applyAlignment="1">
      <alignment horizontal="left" vertical="center" wrapText="1"/>
    </xf>
    <xf numFmtId="0" fontId="47" fillId="0" borderId="122" xfId="0" applyFont="1" applyBorder="1" applyAlignment="1">
      <alignment horizontal="left" vertical="center" wrapText="1"/>
    </xf>
    <xf numFmtId="0" fontId="41" fillId="29" borderId="7" xfId="0" applyFont="1" applyFill="1" applyBorder="1" applyAlignment="1">
      <alignment horizontal="right" vertical="center"/>
    </xf>
    <xf numFmtId="0" fontId="41" fillId="29" borderId="0" xfId="0" applyFont="1" applyFill="1" applyAlignment="1">
      <alignment horizontal="right" vertical="center"/>
    </xf>
    <xf numFmtId="0" fontId="48" fillId="0" borderId="85" xfId="0" applyFont="1" applyBorder="1" applyAlignment="1">
      <alignment horizontal="left" vertical="center" wrapText="1"/>
    </xf>
    <xf numFmtId="0" fontId="48" fillId="0" borderId="13" xfId="0" applyFont="1" applyBorder="1" applyAlignment="1">
      <alignment horizontal="left" vertical="center" wrapText="1"/>
    </xf>
    <xf numFmtId="0" fontId="48" fillId="0" borderId="150" xfId="0" applyFont="1" applyBorder="1" applyAlignment="1">
      <alignment horizontal="left" vertical="center"/>
    </xf>
    <xf numFmtId="0" fontId="48" fillId="0" borderId="151" xfId="0" applyFont="1" applyBorder="1" applyAlignment="1">
      <alignment horizontal="left" vertical="center"/>
    </xf>
    <xf numFmtId="0" fontId="49" fillId="0" borderId="0" xfId="0" applyFont="1" applyAlignment="1">
      <alignment horizontal="center" vertical="center" wrapText="1"/>
    </xf>
    <xf numFmtId="0" fontId="49" fillId="0" borderId="0" xfId="0" applyFont="1" applyAlignment="1">
      <alignment horizontal="center" vertical="center"/>
    </xf>
    <xf numFmtId="0" fontId="47" fillId="29" borderId="52" xfId="0" applyFont="1" applyFill="1" applyBorder="1" applyAlignment="1">
      <alignment horizontal="center" vertical="center" wrapText="1"/>
    </xf>
    <xf numFmtId="0" fontId="47" fillId="29" borderId="55" xfId="0" applyFont="1" applyFill="1" applyBorder="1" applyAlignment="1">
      <alignment horizontal="center" vertical="center" wrapText="1"/>
    </xf>
    <xf numFmtId="0" fontId="47" fillId="29" borderId="123" xfId="0" applyFont="1" applyFill="1" applyBorder="1" applyAlignment="1">
      <alignment horizontal="center" vertical="center" wrapText="1"/>
    </xf>
    <xf numFmtId="0" fontId="47" fillId="29" borderId="124" xfId="0" applyFont="1" applyFill="1" applyBorder="1" applyAlignment="1">
      <alignment horizontal="center" vertical="center" wrapText="1"/>
    </xf>
    <xf numFmtId="0" fontId="47" fillId="29" borderId="91" xfId="0" applyFont="1" applyFill="1" applyBorder="1" applyAlignment="1">
      <alignment horizontal="center" vertical="center" wrapText="1"/>
    </xf>
    <xf numFmtId="0" fontId="47" fillId="29" borderId="17" xfId="0" applyFont="1" applyFill="1" applyBorder="1" applyAlignment="1">
      <alignment horizontal="center" vertical="center" wrapText="1"/>
    </xf>
    <xf numFmtId="0" fontId="47" fillId="29" borderId="93" xfId="0" applyFont="1" applyFill="1" applyBorder="1" applyAlignment="1">
      <alignment horizontal="center" vertical="center" wrapText="1"/>
    </xf>
    <xf numFmtId="0" fontId="47" fillId="29" borderId="9" xfId="0" applyFont="1" applyFill="1" applyBorder="1" applyAlignment="1">
      <alignment horizontal="center" vertical="center" wrapText="1"/>
    </xf>
    <xf numFmtId="0" fontId="47" fillId="29" borderId="126" xfId="0" applyFont="1" applyFill="1" applyBorder="1" applyAlignment="1">
      <alignment horizontal="center" vertical="center" wrapText="1"/>
    </xf>
    <xf numFmtId="0" fontId="47" fillId="29" borderId="120" xfId="0" applyFont="1" applyFill="1" applyBorder="1" applyAlignment="1">
      <alignment horizontal="center" vertical="center" wrapText="1"/>
    </xf>
    <xf numFmtId="173" fontId="34" fillId="0" borderId="0" xfId="92" applyFont="1" applyAlignment="1">
      <alignment horizontal="left" vertical="center" wrapText="1"/>
    </xf>
    <xf numFmtId="0" fontId="53" fillId="29" borderId="53" xfId="0" applyFont="1" applyFill="1" applyBorder="1" applyAlignment="1">
      <alignment horizontal="center" vertical="center" wrapText="1"/>
    </xf>
    <xf numFmtId="0" fontId="53" fillId="29" borderId="62" xfId="0" applyFont="1" applyFill="1" applyBorder="1" applyAlignment="1">
      <alignment horizontal="center" vertical="center" wrapText="1"/>
    </xf>
    <xf numFmtId="0" fontId="53" fillId="29" borderId="52" xfId="0" applyFont="1" applyFill="1" applyBorder="1" applyAlignment="1">
      <alignment horizontal="center" vertical="center"/>
    </xf>
    <xf numFmtId="0" fontId="53" fillId="29" borderId="53" xfId="0" applyFont="1" applyFill="1" applyBorder="1" applyAlignment="1">
      <alignment horizontal="center" vertical="center"/>
    </xf>
    <xf numFmtId="0" fontId="53" fillId="29" borderId="127" xfId="0" applyFont="1" applyFill="1" applyBorder="1" applyAlignment="1">
      <alignment horizontal="center" vertical="center"/>
    </xf>
    <xf numFmtId="0" fontId="53" fillId="29" borderId="60" xfId="0" applyFont="1" applyFill="1" applyBorder="1" applyAlignment="1">
      <alignment horizontal="center" vertical="center" wrapText="1"/>
    </xf>
    <xf numFmtId="0" fontId="53" fillId="29" borderId="131" xfId="0" applyFont="1" applyFill="1" applyBorder="1" applyAlignment="1">
      <alignment horizontal="center" vertical="center" wrapText="1"/>
    </xf>
    <xf numFmtId="0" fontId="53" fillId="29" borderId="120" xfId="0" applyFont="1" applyFill="1" applyBorder="1" applyAlignment="1">
      <alignment horizontal="center" vertical="center" wrapText="1"/>
    </xf>
    <xf numFmtId="0" fontId="53" fillId="29" borderId="123" xfId="0" applyFont="1" applyFill="1" applyBorder="1" applyAlignment="1">
      <alignment horizontal="center" vertical="center" wrapText="1"/>
    </xf>
    <xf numFmtId="0" fontId="53" fillId="29" borderId="54" xfId="0" applyFont="1" applyFill="1" applyBorder="1" applyAlignment="1">
      <alignment horizontal="center" vertical="center" wrapText="1"/>
    </xf>
    <xf numFmtId="0" fontId="53" fillId="29" borderId="63" xfId="0" applyFont="1" applyFill="1" applyBorder="1" applyAlignment="1">
      <alignment horizontal="center" vertical="center" wrapText="1"/>
    </xf>
    <xf numFmtId="0" fontId="53" fillId="29" borderId="52" xfId="0" applyFont="1" applyFill="1" applyBorder="1" applyAlignment="1">
      <alignment horizontal="center" vertical="center" wrapText="1"/>
    </xf>
    <xf numFmtId="0" fontId="53" fillId="29" borderId="61" xfId="0" applyFont="1" applyFill="1" applyBorder="1" applyAlignment="1">
      <alignment horizontal="center" vertical="center" wrapText="1"/>
    </xf>
    <xf numFmtId="43" fontId="53" fillId="29" borderId="68" xfId="1" applyFont="1" applyFill="1" applyBorder="1" applyAlignment="1">
      <alignment horizontal="center" vertical="center" wrapText="1"/>
    </xf>
    <xf numFmtId="43" fontId="53" fillId="29" borderId="69" xfId="1" applyFont="1" applyFill="1" applyBorder="1" applyAlignment="1">
      <alignment horizontal="center" vertical="center" wrapText="1"/>
    </xf>
    <xf numFmtId="173" fontId="59" fillId="0" borderId="0" xfId="92" applyFont="1" applyAlignment="1">
      <alignment horizontal="left" vertical="center" wrapText="1"/>
    </xf>
    <xf numFmtId="0" fontId="66" fillId="34" borderId="138" xfId="0" applyFont="1" applyFill="1" applyBorder="1" applyAlignment="1">
      <alignment horizontal="left" vertical="top" wrapText="1"/>
    </xf>
    <xf numFmtId="0" fontId="64" fillId="32" borderId="138" xfId="0" applyFont="1" applyFill="1" applyBorder="1" applyAlignment="1">
      <alignment horizontal="left" vertical="top" wrapText="1"/>
    </xf>
    <xf numFmtId="0" fontId="65" fillId="33" borderId="138" xfId="0" applyFont="1" applyFill="1" applyBorder="1" applyAlignment="1">
      <alignment horizontal="left" vertical="top" wrapText="1"/>
    </xf>
    <xf numFmtId="0" fontId="66" fillId="35" borderId="138" xfId="0" applyFont="1" applyFill="1" applyBorder="1" applyAlignment="1">
      <alignment horizontal="left" vertical="top" wrapText="1"/>
    </xf>
    <xf numFmtId="0" fontId="34" fillId="32" borderId="0" xfId="0" applyFont="1" applyFill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64" fillId="32" borderId="0" xfId="0" applyFont="1" applyFill="1" applyAlignment="1">
      <alignment horizontal="center" wrapText="1"/>
    </xf>
    <xf numFmtId="0" fontId="0" fillId="0" borderId="0" xfId="0"/>
    <xf numFmtId="173" fontId="34" fillId="0" borderId="0" xfId="92" applyFont="1" applyAlignment="1">
      <alignment horizontal="center" vertical="center"/>
    </xf>
    <xf numFmtId="0" fontId="30" fillId="0" borderId="11" xfId="0" quotePrefix="1" applyFont="1" applyBorder="1" applyAlignment="1">
      <alignment horizontal="center" vertical="center"/>
    </xf>
    <xf numFmtId="0" fontId="30" fillId="0" borderId="107" xfId="0" applyFont="1" applyBorder="1" applyAlignment="1">
      <alignment horizontal="center" vertical="center"/>
    </xf>
    <xf numFmtId="0" fontId="30" fillId="0" borderId="106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29" xfId="0" applyFont="1" applyBorder="1" applyAlignment="1">
      <alignment horizontal="center" vertical="center" wrapText="1"/>
    </xf>
    <xf numFmtId="164" fontId="30" fillId="4" borderId="110" xfId="22" applyFont="1" applyFill="1" applyBorder="1" applyAlignment="1">
      <alignment horizontal="center" vertical="center"/>
    </xf>
    <xf numFmtId="164" fontId="30" fillId="4" borderId="111" xfId="22" applyFont="1" applyFill="1" applyBorder="1" applyAlignment="1">
      <alignment horizontal="center" vertical="center"/>
    </xf>
    <xf numFmtId="164" fontId="30" fillId="4" borderId="112" xfId="22" applyFont="1" applyFill="1" applyBorder="1" applyAlignment="1">
      <alignment horizontal="center" vertical="center"/>
    </xf>
    <xf numFmtId="10" fontId="30" fillId="4" borderId="115" xfId="195" applyNumberFormat="1" applyFont="1" applyFill="1" applyBorder="1" applyAlignment="1">
      <alignment horizontal="center" vertical="center"/>
    </xf>
    <xf numFmtId="10" fontId="30" fillId="4" borderId="116" xfId="195" applyNumberFormat="1" applyFont="1" applyFill="1" applyBorder="1" applyAlignment="1">
      <alignment horizontal="center" vertical="center"/>
    </xf>
    <xf numFmtId="10" fontId="30" fillId="4" borderId="117" xfId="195" applyNumberFormat="1" applyFont="1" applyFill="1" applyBorder="1" applyAlignment="1">
      <alignment horizontal="center" vertical="center"/>
    </xf>
    <xf numFmtId="10" fontId="30" fillId="4" borderId="119" xfId="195" applyNumberFormat="1" applyFont="1" applyFill="1" applyBorder="1" applyAlignment="1">
      <alignment horizontal="center" vertical="center"/>
    </xf>
    <xf numFmtId="164" fontId="30" fillId="4" borderId="118" xfId="22" applyFont="1" applyFill="1" applyBorder="1" applyAlignment="1">
      <alignment horizontal="center" vertical="center"/>
    </xf>
    <xf numFmtId="10" fontId="30" fillId="30" borderId="80" xfId="195" applyNumberFormat="1" applyFont="1" applyFill="1" applyBorder="1" applyAlignment="1">
      <alignment horizontal="center" vertical="center"/>
    </xf>
    <xf numFmtId="10" fontId="30" fillId="30" borderId="31" xfId="195" applyNumberFormat="1" applyFont="1" applyFill="1" applyBorder="1" applyAlignment="1">
      <alignment horizontal="center" vertical="center"/>
    </xf>
    <xf numFmtId="10" fontId="30" fillId="30" borderId="18" xfId="195" applyNumberFormat="1" applyFont="1" applyFill="1" applyBorder="1" applyAlignment="1">
      <alignment horizontal="center" vertical="center"/>
    </xf>
    <xf numFmtId="10" fontId="30" fillId="30" borderId="79" xfId="195" applyNumberFormat="1" applyFont="1" applyFill="1" applyBorder="1" applyAlignment="1">
      <alignment horizontal="center" vertical="center"/>
    </xf>
    <xf numFmtId="164" fontId="34" fillId="30" borderId="76" xfId="195" applyNumberFormat="1" applyFont="1" applyFill="1" applyBorder="1" applyAlignment="1">
      <alignment horizontal="center" vertical="center"/>
    </xf>
    <xf numFmtId="164" fontId="34" fillId="30" borderId="104" xfId="195" applyNumberFormat="1" applyFont="1" applyFill="1" applyBorder="1" applyAlignment="1">
      <alignment horizontal="center" vertical="center"/>
    </xf>
    <xf numFmtId="164" fontId="34" fillId="30" borderId="135" xfId="195" applyNumberFormat="1" applyFont="1" applyFill="1" applyBorder="1" applyAlignment="1">
      <alignment horizontal="center" vertical="center"/>
    </xf>
    <xf numFmtId="164" fontId="34" fillId="27" borderId="76" xfId="22" applyFont="1" applyFill="1" applyBorder="1" applyAlignment="1">
      <alignment horizontal="center" vertical="center"/>
    </xf>
    <xf numFmtId="164" fontId="34" fillId="27" borderId="104" xfId="22" applyFont="1" applyFill="1" applyBorder="1" applyAlignment="1">
      <alignment horizontal="center" vertical="center"/>
    </xf>
    <xf numFmtId="164" fontId="34" fillId="27" borderId="75" xfId="22" applyFont="1" applyFill="1" applyBorder="1" applyAlignment="1">
      <alignment horizontal="center" vertical="center"/>
    </xf>
    <xf numFmtId="10" fontId="30" fillId="27" borderId="80" xfId="195" applyNumberFormat="1" applyFont="1" applyFill="1" applyBorder="1" applyAlignment="1">
      <alignment horizontal="center" vertical="center"/>
    </xf>
    <xf numFmtId="10" fontId="30" fillId="27" borderId="31" xfId="195" applyNumberFormat="1" applyFont="1" applyFill="1" applyBorder="1" applyAlignment="1">
      <alignment horizontal="center" vertical="center"/>
    </xf>
    <xf numFmtId="10" fontId="30" fillId="27" borderId="18" xfId="195" applyNumberFormat="1" applyFont="1" applyFill="1" applyBorder="1" applyAlignment="1">
      <alignment horizontal="center" vertical="center"/>
    </xf>
    <xf numFmtId="10" fontId="30" fillId="27" borderId="79" xfId="195" applyNumberFormat="1" applyFont="1" applyFill="1" applyBorder="1" applyAlignment="1">
      <alignment horizontal="center" vertical="center"/>
    </xf>
    <xf numFmtId="164" fontId="34" fillId="27" borderId="135" xfId="22" applyFont="1" applyFill="1" applyBorder="1" applyAlignment="1">
      <alignment horizontal="center" vertical="center"/>
    </xf>
    <xf numFmtId="164" fontId="34" fillId="30" borderId="75" xfId="195" applyNumberFormat="1" applyFont="1" applyFill="1" applyBorder="1" applyAlignment="1">
      <alignment horizontal="center" vertical="center"/>
    </xf>
    <xf numFmtId="4" fontId="30" fillId="4" borderId="110" xfId="22" applyNumberFormat="1" applyFont="1" applyFill="1" applyBorder="1" applyAlignment="1">
      <alignment horizontal="center" vertical="center"/>
    </xf>
    <xf numFmtId="4" fontId="30" fillId="4" borderId="111" xfId="22" applyNumberFormat="1" applyFont="1" applyFill="1" applyBorder="1" applyAlignment="1">
      <alignment horizontal="center" vertical="center"/>
    </xf>
    <xf numFmtId="4" fontId="30" fillId="4" borderId="112" xfId="22" applyNumberFormat="1" applyFont="1" applyFill="1" applyBorder="1" applyAlignment="1">
      <alignment horizontal="center" vertical="center"/>
    </xf>
    <xf numFmtId="4" fontId="30" fillId="4" borderId="118" xfId="22" applyNumberFormat="1" applyFont="1" applyFill="1" applyBorder="1" applyAlignment="1">
      <alignment horizontal="center" vertical="center"/>
    </xf>
    <xf numFmtId="10" fontId="34" fillId="0" borderId="0" xfId="144" applyNumberFormat="1" applyFont="1" applyFill="1" applyAlignment="1" applyProtection="1">
      <alignment horizontal="center" vertical="center"/>
    </xf>
    <xf numFmtId="0" fontId="34" fillId="0" borderId="140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4" fillId="0" borderId="90" xfId="0" applyFont="1" applyBorder="1" applyAlignment="1">
      <alignment horizontal="center" vertical="center"/>
    </xf>
    <xf numFmtId="0" fontId="34" fillId="0" borderId="16" xfId="0" applyFont="1" applyBorder="1" applyAlignment="1">
      <alignment horizontal="center" vertical="center"/>
    </xf>
    <xf numFmtId="0" fontId="34" fillId="0" borderId="28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0" fontId="34" fillId="0" borderId="109" xfId="0" applyFont="1" applyBorder="1" applyAlignment="1">
      <alignment horizontal="center" vertical="center" wrapText="1"/>
    </xf>
    <xf numFmtId="4" fontId="30" fillId="4" borderId="133" xfId="22" applyNumberFormat="1" applyFont="1" applyFill="1" applyBorder="1" applyAlignment="1">
      <alignment horizontal="center" vertical="center"/>
    </xf>
    <xf numFmtId="4" fontId="30" fillId="4" borderId="121" xfId="22" applyNumberFormat="1" applyFont="1" applyFill="1" applyBorder="1" applyAlignment="1">
      <alignment horizontal="center" vertical="center"/>
    </xf>
    <xf numFmtId="4" fontId="30" fillId="4" borderId="125" xfId="22" applyNumberFormat="1" applyFont="1" applyFill="1" applyBorder="1" applyAlignment="1">
      <alignment horizontal="center" vertical="center"/>
    </xf>
    <xf numFmtId="4" fontId="30" fillId="4" borderId="134" xfId="22" applyNumberFormat="1" applyFont="1" applyFill="1" applyBorder="1" applyAlignment="1">
      <alignment horizontal="center" vertical="center"/>
    </xf>
    <xf numFmtId="4" fontId="34" fillId="27" borderId="76" xfId="22" applyNumberFormat="1" applyFont="1" applyFill="1" applyBorder="1" applyAlignment="1">
      <alignment horizontal="center" vertical="center"/>
    </xf>
    <xf numFmtId="4" fontId="34" fillId="27" borderId="104" xfId="22" applyNumberFormat="1" applyFont="1" applyFill="1" applyBorder="1" applyAlignment="1">
      <alignment horizontal="center" vertical="center"/>
    </xf>
    <xf numFmtId="4" fontId="34" fillId="27" borderId="135" xfId="22" applyNumberFormat="1" applyFont="1" applyFill="1" applyBorder="1" applyAlignment="1">
      <alignment horizontal="center" vertical="center"/>
    </xf>
    <xf numFmtId="4" fontId="34" fillId="30" borderId="76" xfId="195" applyNumberFormat="1" applyFont="1" applyFill="1" applyBorder="1" applyAlignment="1">
      <alignment horizontal="center" vertical="center"/>
    </xf>
    <xf numFmtId="4" fontId="34" fillId="30" borderId="104" xfId="195" applyNumberFormat="1" applyFont="1" applyFill="1" applyBorder="1" applyAlignment="1">
      <alignment horizontal="center" vertical="center"/>
    </xf>
    <xf numFmtId="4" fontId="34" fillId="30" borderId="135" xfId="195" applyNumberFormat="1" applyFont="1" applyFill="1" applyBorder="1" applyAlignment="1">
      <alignment horizontal="center" vertical="center"/>
    </xf>
    <xf numFmtId="0" fontId="30" fillId="0" borderId="74" xfId="0" applyFont="1" applyBorder="1" applyAlignment="1">
      <alignment horizontal="center" vertical="center" wrapText="1"/>
    </xf>
    <xf numFmtId="0" fontId="34" fillId="0" borderId="73" xfId="0" applyFont="1" applyBorder="1" applyAlignment="1">
      <alignment horizontal="center" vertical="center"/>
    </xf>
    <xf numFmtId="0" fontId="34" fillId="0" borderId="105" xfId="0" applyFont="1" applyBorder="1" applyAlignment="1">
      <alignment horizontal="center" vertical="center"/>
    </xf>
    <xf numFmtId="0" fontId="34" fillId="0" borderId="77" xfId="0" applyFont="1" applyBorder="1" applyAlignment="1">
      <alignment horizontal="center" vertical="center"/>
    </xf>
    <xf numFmtId="0" fontId="34" fillId="0" borderId="7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4" fillId="0" borderId="78" xfId="0" applyFont="1" applyBorder="1" applyAlignment="1">
      <alignment horizontal="center" vertical="center" wrapText="1"/>
    </xf>
    <xf numFmtId="0" fontId="34" fillId="0" borderId="81" xfId="0" applyFont="1" applyBorder="1" applyAlignment="1">
      <alignment horizontal="center" vertical="center" wrapText="1"/>
    </xf>
    <xf numFmtId="0" fontId="34" fillId="0" borderId="82" xfId="0" applyFont="1" applyBorder="1" applyAlignment="1">
      <alignment horizontal="center" vertical="center" wrapText="1"/>
    </xf>
    <xf numFmtId="0" fontId="34" fillId="0" borderId="83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/>
    </xf>
    <xf numFmtId="0" fontId="47" fillId="28" borderId="36" xfId="0" applyFont="1" applyFill="1" applyBorder="1" applyAlignment="1">
      <alignment horizontal="center" vertical="center" wrapText="1"/>
    </xf>
    <xf numFmtId="0" fontId="47" fillId="28" borderId="175" xfId="0" applyFont="1" applyFill="1" applyBorder="1" applyAlignment="1">
      <alignment horizontal="center" vertical="center" wrapText="1"/>
    </xf>
    <xf numFmtId="0" fontId="47" fillId="27" borderId="8" xfId="0" applyFont="1" applyFill="1" applyBorder="1" applyAlignment="1">
      <alignment horizontal="right" vertical="center"/>
    </xf>
    <xf numFmtId="0" fontId="47" fillId="27" borderId="9" xfId="0" applyFont="1" applyFill="1" applyBorder="1" applyAlignment="1">
      <alignment horizontal="right" vertical="center"/>
    </xf>
    <xf numFmtId="0" fontId="47" fillId="27" borderId="14" xfId="0" applyFont="1" applyFill="1" applyBorder="1" applyAlignment="1">
      <alignment horizontal="right" vertical="center"/>
    </xf>
    <xf numFmtId="0" fontId="47" fillId="28" borderId="137" xfId="0" applyFont="1" applyFill="1" applyBorder="1" applyAlignment="1">
      <alignment horizontal="center" vertical="center" wrapText="1"/>
    </xf>
    <xf numFmtId="0" fontId="47" fillId="28" borderId="160" xfId="0" applyFont="1" applyFill="1" applyBorder="1" applyAlignment="1">
      <alignment horizontal="center" vertical="center" wrapText="1"/>
    </xf>
    <xf numFmtId="0" fontId="47" fillId="28" borderId="34" xfId="0" applyFont="1" applyFill="1" applyBorder="1" applyAlignment="1">
      <alignment horizontal="center" vertical="center" wrapText="1"/>
    </xf>
    <xf numFmtId="0" fontId="47" fillId="28" borderId="173" xfId="0" applyFont="1" applyFill="1" applyBorder="1" applyAlignment="1">
      <alignment horizontal="center" vertical="center" wrapText="1"/>
    </xf>
    <xf numFmtId="0" fontId="47" fillId="28" borderId="35" xfId="0" applyFont="1" applyFill="1" applyBorder="1" applyAlignment="1">
      <alignment horizontal="center" vertical="center" wrapText="1"/>
    </xf>
    <xf numFmtId="0" fontId="47" fillId="28" borderId="159" xfId="0" applyFont="1" applyFill="1" applyBorder="1" applyAlignment="1">
      <alignment horizontal="center" vertical="center" wrapText="1"/>
    </xf>
    <xf numFmtId="0" fontId="47" fillId="28" borderId="136" xfId="0" applyFont="1" applyFill="1" applyBorder="1" applyAlignment="1">
      <alignment horizontal="center" vertical="center" wrapText="1"/>
    </xf>
    <xf numFmtId="0" fontId="47" fillId="28" borderId="174" xfId="0" applyFont="1" applyFill="1" applyBorder="1" applyAlignment="1">
      <alignment horizontal="center" vertical="center" wrapText="1"/>
    </xf>
    <xf numFmtId="43" fontId="47" fillId="28" borderId="74" xfId="1" applyFont="1" applyFill="1" applyBorder="1" applyAlignment="1">
      <alignment horizontal="center" vertical="center" wrapText="1"/>
    </xf>
    <xf numFmtId="43" fontId="47" fillId="28" borderId="4" xfId="1" applyFont="1" applyFill="1" applyBorder="1" applyAlignment="1">
      <alignment horizontal="center" vertical="center" wrapText="1"/>
    </xf>
    <xf numFmtId="173" fontId="30" fillId="0" borderId="0" xfId="92" applyFont="1" applyAlignment="1">
      <alignment horizontal="left" vertical="center"/>
    </xf>
    <xf numFmtId="0" fontId="43" fillId="0" borderId="0" xfId="0" applyFont="1" applyAlignment="1">
      <alignment horizontal="center" vertical="center" wrapText="1"/>
    </xf>
    <xf numFmtId="173" fontId="1" fillId="4" borderId="0" xfId="92" applyFont="1" applyFill="1" applyAlignment="1">
      <alignment horizontal="justify" vertical="center" wrapText="1"/>
    </xf>
    <xf numFmtId="176" fontId="30" fillId="0" borderId="0" xfId="190" applyNumberFormat="1" applyFont="1" applyFill="1" applyBorder="1" applyAlignment="1" applyProtection="1">
      <alignment horizontal="center" vertical="center" wrapText="1"/>
      <protection locked="0"/>
    </xf>
    <xf numFmtId="176" fontId="30" fillId="0" borderId="15" xfId="190" applyNumberFormat="1" applyFont="1" applyFill="1" applyBorder="1" applyAlignment="1" applyProtection="1">
      <alignment horizontal="center" vertical="center" wrapText="1"/>
      <protection locked="0"/>
    </xf>
    <xf numFmtId="10" fontId="30" fillId="0" borderId="0" xfId="144" applyNumberFormat="1" applyFont="1" applyFill="1" applyBorder="1" applyAlignment="1" applyProtection="1">
      <alignment horizontal="left" vertical="center"/>
      <protection locked="0"/>
    </xf>
    <xf numFmtId="173" fontId="30" fillId="0" borderId="0" xfId="92" applyFont="1" applyAlignment="1" applyProtection="1">
      <alignment horizontal="left" vertical="center"/>
      <protection locked="0"/>
    </xf>
    <xf numFmtId="173" fontId="34" fillId="29" borderId="6" xfId="92" applyFont="1" applyFill="1" applyBorder="1" applyAlignment="1">
      <alignment horizontal="center" vertical="center"/>
    </xf>
    <xf numFmtId="173" fontId="34" fillId="29" borderId="17" xfId="92" applyFont="1" applyFill="1" applyBorder="1" applyAlignment="1">
      <alignment horizontal="center" vertical="center"/>
    </xf>
    <xf numFmtId="173" fontId="34" fillId="29" borderId="8" xfId="92" applyFont="1" applyFill="1" applyBorder="1" applyAlignment="1">
      <alignment horizontal="center" vertical="center"/>
    </xf>
    <xf numFmtId="173" fontId="34" fillId="29" borderId="9" xfId="92" applyFont="1" applyFill="1" applyBorder="1" applyAlignment="1">
      <alignment horizontal="center" vertical="center"/>
    </xf>
    <xf numFmtId="173" fontId="34" fillId="29" borderId="17" xfId="92" applyFont="1" applyFill="1" applyBorder="1" applyAlignment="1">
      <alignment horizontal="center" vertical="center" wrapText="1"/>
    </xf>
    <xf numFmtId="173" fontId="34" fillId="29" borderId="16" xfId="92" applyFont="1" applyFill="1" applyBorder="1" applyAlignment="1">
      <alignment horizontal="center" vertical="center" wrapText="1"/>
    </xf>
    <xf numFmtId="173" fontId="34" fillId="29" borderId="9" xfId="92" applyFont="1" applyFill="1" applyBorder="1" applyAlignment="1">
      <alignment horizontal="center" vertical="center" wrapText="1"/>
    </xf>
    <xf numFmtId="173" fontId="34" fillId="29" borderId="10" xfId="92" applyFont="1" applyFill="1" applyBorder="1" applyAlignment="1">
      <alignment horizontal="center" vertical="center" wrapText="1"/>
    </xf>
    <xf numFmtId="173" fontId="30" fillId="0" borderId="6" xfId="92" applyFont="1" applyBorder="1" applyAlignment="1">
      <alignment horizontal="center" vertical="center" wrapText="1"/>
    </xf>
    <xf numFmtId="173" fontId="30" fillId="0" borderId="17" xfId="92" applyFont="1" applyBorder="1" applyAlignment="1">
      <alignment horizontal="center" vertical="center" wrapText="1"/>
    </xf>
    <xf numFmtId="173" fontId="30" fillId="0" borderId="16" xfId="92" applyFont="1" applyBorder="1" applyAlignment="1">
      <alignment horizontal="center" vertical="center" wrapText="1"/>
    </xf>
    <xf numFmtId="176" fontId="30" fillId="0" borderId="17" xfId="190" applyNumberFormat="1" applyFont="1" applyFill="1" applyBorder="1" applyAlignment="1" applyProtection="1">
      <alignment horizontal="center" vertical="center" wrapText="1"/>
      <protection locked="0"/>
    </xf>
    <xf numFmtId="176" fontId="30" fillId="0" borderId="16" xfId="190" applyNumberFormat="1" applyFont="1" applyFill="1" applyBorder="1" applyAlignment="1" applyProtection="1">
      <alignment horizontal="center" vertical="center" wrapText="1"/>
      <protection locked="0"/>
    </xf>
    <xf numFmtId="176" fontId="34" fillId="28" borderId="9" xfId="190" applyNumberFormat="1" applyFont="1" applyFill="1" applyBorder="1" applyAlignment="1" applyProtection="1">
      <alignment horizontal="center" vertical="center" wrapText="1"/>
    </xf>
    <xf numFmtId="176" fontId="34" fillId="28" borderId="10" xfId="190" applyNumberFormat="1" applyFont="1" applyFill="1" applyBorder="1" applyAlignment="1" applyProtection="1">
      <alignment horizontal="center" vertical="center" wrapText="1"/>
    </xf>
    <xf numFmtId="173" fontId="1" fillId="0" borderId="0" xfId="92" applyFont="1" applyAlignment="1">
      <alignment horizontal="left" vertical="center" wrapText="1"/>
    </xf>
    <xf numFmtId="173" fontId="30" fillId="0" borderId="0" xfId="92" applyFont="1" applyAlignment="1">
      <alignment horizontal="justify" vertical="center"/>
    </xf>
    <xf numFmtId="173" fontId="30" fillId="0" borderId="0" xfId="92" applyFont="1" applyAlignment="1">
      <alignment horizontal="center" vertical="center" wrapText="1"/>
    </xf>
    <xf numFmtId="177" fontId="30" fillId="0" borderId="17" xfId="195" applyNumberFormat="1" applyFont="1" applyFill="1" applyBorder="1" applyAlignment="1" applyProtection="1">
      <alignment horizontal="center" vertical="center"/>
    </xf>
    <xf numFmtId="173" fontId="45" fillId="0" borderId="0" xfId="92" applyFont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30" fillId="4" borderId="146" xfId="0" applyFont="1" applyFill="1" applyBorder="1" applyAlignment="1">
      <alignment horizontal="center" vertical="center" wrapText="1"/>
    </xf>
    <xf numFmtId="0" fontId="30" fillId="4" borderId="147" xfId="0" applyFont="1" applyFill="1" applyBorder="1" applyAlignment="1">
      <alignment horizontal="center" vertical="center" wrapText="1"/>
    </xf>
    <xf numFmtId="0" fontId="30" fillId="4" borderId="148" xfId="0" applyFont="1" applyFill="1" applyBorder="1" applyAlignment="1">
      <alignment horizontal="center" vertical="center" wrapText="1"/>
    </xf>
    <xf numFmtId="0" fontId="34" fillId="28" borderId="77" xfId="0" applyFont="1" applyFill="1" applyBorder="1" applyAlignment="1">
      <alignment horizontal="center" vertical="center" wrapText="1"/>
    </xf>
    <xf numFmtId="0" fontId="34" fillId="28" borderId="27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4" fillId="28" borderId="73" xfId="0" applyFont="1" applyFill="1" applyBorder="1" applyAlignment="1">
      <alignment horizontal="center" vertical="center" wrapText="1"/>
    </xf>
    <xf numFmtId="0" fontId="34" fillId="28" borderId="140" xfId="0" applyFont="1" applyFill="1" applyBorder="1" applyAlignment="1">
      <alignment horizontal="center" vertical="center" wrapText="1"/>
    </xf>
    <xf numFmtId="0" fontId="34" fillId="28" borderId="141" xfId="0" applyFont="1" applyFill="1" applyBorder="1" applyAlignment="1">
      <alignment horizontal="center" vertical="center" wrapText="1"/>
    </xf>
    <xf numFmtId="0" fontId="30" fillId="28" borderId="26" xfId="0" applyFont="1" applyFill="1" applyBorder="1" applyAlignment="1">
      <alignment horizontal="center" vertical="center" wrapText="1"/>
    </xf>
    <xf numFmtId="0" fontId="30" fillId="28" borderId="76" xfId="0" applyFont="1" applyFill="1" applyBorder="1" applyAlignment="1">
      <alignment horizontal="center" vertical="center" wrapText="1"/>
    </xf>
    <xf numFmtId="0" fontId="30" fillId="28" borderId="75" xfId="0" applyFont="1" applyFill="1" applyBorder="1" applyAlignment="1">
      <alignment horizontal="center" vertical="center" wrapText="1"/>
    </xf>
    <xf numFmtId="0" fontId="30" fillId="4" borderId="143" xfId="0" applyFont="1" applyFill="1" applyBorder="1" applyAlignment="1">
      <alignment horizontal="center" vertical="center" wrapText="1"/>
    </xf>
    <xf numFmtId="0" fontId="30" fillId="4" borderId="104" xfId="0" applyFont="1" applyFill="1" applyBorder="1" applyAlignment="1">
      <alignment horizontal="center" vertical="center" wrapText="1"/>
    </xf>
    <xf numFmtId="0" fontId="30" fillId="4" borderId="75" xfId="0" applyFont="1" applyFill="1" applyBorder="1" applyAlignment="1">
      <alignment horizontal="center" vertical="center" wrapText="1"/>
    </xf>
    <xf numFmtId="14" fontId="75" fillId="0" borderId="170" xfId="0" applyNumberFormat="1" applyFont="1" applyBorder="1" applyAlignment="1">
      <alignment horizontal="center" vertical="center"/>
    </xf>
    <xf numFmtId="0" fontId="69" fillId="0" borderId="171" xfId="0" applyFont="1" applyBorder="1"/>
    <xf numFmtId="0" fontId="72" fillId="0" borderId="170" xfId="0" applyFont="1" applyBorder="1" applyAlignment="1">
      <alignment horizontal="center" vertical="center" wrapText="1"/>
    </xf>
    <xf numFmtId="0" fontId="69" fillId="0" borderId="172" xfId="0" applyFont="1" applyBorder="1"/>
    <xf numFmtId="182" fontId="74" fillId="0" borderId="170" xfId="0" applyNumberFormat="1" applyFont="1" applyBorder="1" applyAlignment="1">
      <alignment horizontal="center" vertical="center"/>
    </xf>
    <xf numFmtId="0" fontId="67" fillId="0" borderId="0" xfId="0" applyFont="1" applyAlignment="1">
      <alignment horizontal="center" vertical="top"/>
    </xf>
    <xf numFmtId="181" fontId="72" fillId="30" borderId="166" xfId="0" applyNumberFormat="1" applyFont="1" applyFill="1" applyBorder="1" applyAlignment="1">
      <alignment horizontal="center" vertical="center"/>
    </xf>
    <xf numFmtId="0" fontId="69" fillId="30" borderId="167" xfId="0" applyFont="1" applyFill="1" applyBorder="1"/>
    <xf numFmtId="0" fontId="69" fillId="30" borderId="168" xfId="0" applyFont="1" applyFill="1" applyBorder="1"/>
    <xf numFmtId="0" fontId="73" fillId="38" borderId="166" xfId="0" applyFont="1" applyFill="1" applyBorder="1" applyAlignment="1">
      <alignment horizontal="center" vertical="center"/>
    </xf>
    <xf numFmtId="0" fontId="69" fillId="38" borderId="168" xfId="0" applyFont="1" applyFill="1" applyBorder="1"/>
    <xf numFmtId="49" fontId="73" fillId="38" borderId="166" xfId="0" applyNumberFormat="1" applyFont="1" applyFill="1" applyBorder="1" applyAlignment="1">
      <alignment horizontal="center" vertical="center"/>
    </xf>
    <xf numFmtId="0" fontId="73" fillId="38" borderId="156" xfId="0" applyFont="1" applyFill="1" applyBorder="1" applyAlignment="1">
      <alignment horizontal="center" vertical="center"/>
    </xf>
    <xf numFmtId="0" fontId="69" fillId="38" borderId="158" xfId="0" applyFont="1" applyFill="1" applyBorder="1"/>
    <xf numFmtId="0" fontId="69" fillId="38" borderId="161" xfId="0" applyFont="1" applyFill="1" applyBorder="1"/>
    <xf numFmtId="0" fontId="69" fillId="38" borderId="163" xfId="0" applyFont="1" applyFill="1" applyBorder="1"/>
    <xf numFmtId="0" fontId="69" fillId="38" borderId="157" xfId="0" applyFont="1" applyFill="1" applyBorder="1"/>
    <xf numFmtId="0" fontId="69" fillId="38" borderId="162" xfId="0" applyFont="1" applyFill="1" applyBorder="1"/>
    <xf numFmtId="49" fontId="72" fillId="38" borderId="170" xfId="0" applyNumberFormat="1" applyFont="1" applyFill="1" applyBorder="1" applyAlignment="1">
      <alignment horizontal="center" vertical="center" wrapText="1"/>
    </xf>
    <xf numFmtId="0" fontId="69" fillId="38" borderId="171" xfId="0" applyFont="1" applyFill="1" applyBorder="1"/>
    <xf numFmtId="182" fontId="74" fillId="38" borderId="170" xfId="0" applyNumberFormat="1" applyFont="1" applyFill="1" applyBorder="1" applyAlignment="1">
      <alignment horizontal="center" vertical="center"/>
    </xf>
    <xf numFmtId="0" fontId="69" fillId="38" borderId="172" xfId="0" applyFont="1" applyFill="1" applyBorder="1"/>
    <xf numFmtId="4" fontId="75" fillId="38" borderId="170" xfId="0" applyNumberFormat="1" applyFont="1" applyFill="1" applyBorder="1" applyAlignment="1">
      <alignment horizontal="center" vertical="center"/>
    </xf>
    <xf numFmtId="0" fontId="77" fillId="0" borderId="170" xfId="0" applyFont="1" applyBorder="1" applyAlignment="1">
      <alignment horizontal="center" vertical="center"/>
    </xf>
    <xf numFmtId="174" fontId="76" fillId="0" borderId="170" xfId="0" applyNumberFormat="1" applyFont="1" applyBorder="1" applyAlignment="1">
      <alignment horizontal="center" vertical="center" wrapText="1"/>
    </xf>
    <xf numFmtId="4" fontId="76" fillId="0" borderId="170" xfId="0" applyNumberFormat="1" applyFont="1" applyBorder="1" applyAlignment="1">
      <alignment horizontal="center" vertical="center" wrapText="1"/>
    </xf>
    <xf numFmtId="0" fontId="68" fillId="37" borderId="156" xfId="0" applyFont="1" applyFill="1" applyBorder="1" applyAlignment="1">
      <alignment horizontal="center" vertical="center" wrapText="1"/>
    </xf>
    <xf numFmtId="0" fontId="69" fillId="0" borderId="157" xfId="0" applyFont="1" applyBorder="1"/>
    <xf numFmtId="0" fontId="69" fillId="0" borderId="158" xfId="0" applyFont="1" applyBorder="1"/>
    <xf numFmtId="0" fontId="69" fillId="0" borderId="159" xfId="0" applyFont="1" applyBorder="1"/>
    <xf numFmtId="0" fontId="69" fillId="0" borderId="160" xfId="0" applyFont="1" applyBorder="1"/>
    <xf numFmtId="0" fontId="69" fillId="0" borderId="161" xfId="0" applyFont="1" applyBorder="1"/>
    <xf numFmtId="0" fontId="69" fillId="0" borderId="162" xfId="0" applyFont="1" applyBorder="1"/>
    <xf numFmtId="0" fontId="69" fillId="0" borderId="163" xfId="0" applyFont="1" applyBorder="1"/>
    <xf numFmtId="0" fontId="68" fillId="0" borderId="156" xfId="0" applyFont="1" applyBorder="1" applyAlignment="1">
      <alignment horizontal="center" vertical="center" wrapText="1"/>
    </xf>
    <xf numFmtId="0" fontId="70" fillId="0" borderId="156" xfId="0" applyFont="1" applyBorder="1" applyAlignment="1">
      <alignment horizontal="right" vertical="center" wrapText="1"/>
    </xf>
    <xf numFmtId="0" fontId="69" fillId="0" borderId="164" xfId="0" applyFont="1" applyBorder="1"/>
    <xf numFmtId="0" fontId="24" fillId="0" borderId="165" xfId="201" applyFont="1" applyBorder="1" applyAlignment="1">
      <alignment horizontal="left" vertical="center" wrapText="1"/>
    </xf>
    <xf numFmtId="0" fontId="69" fillId="0" borderId="157" xfId="201" applyFont="1" applyBorder="1"/>
    <xf numFmtId="0" fontId="69" fillId="0" borderId="158" xfId="201" applyFont="1" applyBorder="1"/>
    <xf numFmtId="0" fontId="70" fillId="0" borderId="161" xfId="0" applyFont="1" applyBorder="1" applyAlignment="1">
      <alignment horizontal="right" vertical="center" wrapText="1"/>
    </xf>
    <xf numFmtId="0" fontId="24" fillId="0" borderId="144" xfId="201" applyFont="1" applyBorder="1" applyAlignment="1">
      <alignment horizontal="left" vertical="center" wrapText="1"/>
    </xf>
    <xf numFmtId="0" fontId="69" fillId="0" borderId="144" xfId="201" applyFont="1" applyBorder="1"/>
    <xf numFmtId="0" fontId="57" fillId="0" borderId="6" xfId="0" applyFont="1" applyBorder="1" applyAlignment="1">
      <alignment horizontal="center" vertical="center"/>
    </xf>
    <xf numFmtId="0" fontId="57" fillId="0" borderId="17" xfId="0" applyFont="1" applyBorder="1" applyAlignment="1">
      <alignment horizontal="center" vertical="center"/>
    </xf>
    <xf numFmtId="0" fontId="57" fillId="0" borderId="7" xfId="0" applyFont="1" applyBorder="1" applyAlignment="1">
      <alignment horizontal="center" vertical="center"/>
    </xf>
    <xf numFmtId="0" fontId="57" fillId="0" borderId="0" xfId="0" applyFont="1" applyAlignment="1">
      <alignment horizontal="center" vertical="center"/>
    </xf>
    <xf numFmtId="0" fontId="57" fillId="0" borderId="8" xfId="0" applyFont="1" applyBorder="1" applyAlignment="1">
      <alignment horizontal="center" vertical="center"/>
    </xf>
    <xf numFmtId="0" fontId="57" fillId="0" borderId="9" xfId="0" applyFont="1" applyBorder="1" applyAlignment="1">
      <alignment horizontal="center" vertical="center"/>
    </xf>
    <xf numFmtId="0" fontId="57" fillId="0" borderId="17" xfId="0" applyFont="1" applyBorder="1" applyAlignment="1">
      <alignment horizontal="right" vertical="center"/>
    </xf>
    <xf numFmtId="173" fontId="30" fillId="0" borderId="0" xfId="0" applyNumberFormat="1" applyFont="1" applyAlignment="1">
      <alignment horizontal="center" vertical="center" wrapText="1"/>
    </xf>
    <xf numFmtId="0" fontId="30" fillId="4" borderId="44" xfId="9" applyFont="1" applyFill="1" applyBorder="1" applyAlignment="1" applyProtection="1">
      <alignment horizontal="justify" vertical="center" wrapText="1"/>
      <protection locked="0"/>
    </xf>
    <xf numFmtId="0" fontId="30" fillId="4" borderId="44" xfId="9" applyFont="1" applyFill="1" applyBorder="1" applyAlignment="1" applyProtection="1">
      <alignment horizontal="justify" vertical="center"/>
      <protection locked="0"/>
    </xf>
    <xf numFmtId="0" fontId="30" fillId="4" borderId="45" xfId="9" applyFont="1" applyFill="1" applyBorder="1" applyAlignment="1" applyProtection="1">
      <alignment horizontal="justify" vertical="center"/>
      <protection locked="0"/>
    </xf>
    <xf numFmtId="0" fontId="30" fillId="4" borderId="45" xfId="9" applyFont="1" applyFill="1" applyBorder="1" applyAlignment="1" applyProtection="1">
      <alignment horizontal="justify" vertical="center" wrapText="1"/>
      <protection locked="0"/>
    </xf>
    <xf numFmtId="0" fontId="34" fillId="29" borderId="53" xfId="8" applyFont="1" applyFill="1" applyBorder="1" applyAlignment="1">
      <alignment horizontal="center" vertical="center"/>
    </xf>
    <xf numFmtId="0" fontId="34" fillId="29" borderId="56" xfId="8" applyFont="1" applyFill="1" applyBorder="1" applyAlignment="1">
      <alignment horizontal="center" vertical="center"/>
    </xf>
    <xf numFmtId="0" fontId="34" fillId="29" borderId="52" xfId="8" applyFont="1" applyFill="1" applyBorder="1" applyAlignment="1">
      <alignment horizontal="center" vertical="center"/>
    </xf>
    <xf numFmtId="0" fontId="34" fillId="29" borderId="55" xfId="8" applyFont="1" applyFill="1" applyBorder="1" applyAlignment="1">
      <alignment horizontal="center" vertical="center"/>
    </xf>
    <xf numFmtId="4" fontId="34" fillId="29" borderId="54" xfId="26" applyNumberFormat="1" applyFont="1" applyFill="1" applyBorder="1" applyAlignment="1">
      <alignment horizontal="center" vertical="center"/>
    </xf>
    <xf numFmtId="4" fontId="34" fillId="29" borderId="57" xfId="26" applyNumberFormat="1" applyFont="1" applyFill="1" applyBorder="1" applyAlignment="1">
      <alignment horizontal="center" vertical="center"/>
    </xf>
    <xf numFmtId="4" fontId="34" fillId="29" borderId="71" xfId="26" applyNumberFormat="1" applyFont="1" applyFill="1" applyBorder="1" applyAlignment="1">
      <alignment horizontal="center" vertical="center"/>
    </xf>
    <xf numFmtId="4" fontId="34" fillId="29" borderId="66" xfId="26" applyNumberFormat="1" applyFont="1" applyFill="1" applyBorder="1" applyAlignment="1">
      <alignment horizontal="center" vertical="center"/>
    </xf>
    <xf numFmtId="4" fontId="34" fillId="29" borderId="71" xfId="26" applyNumberFormat="1" applyFont="1" applyFill="1" applyBorder="1" applyAlignment="1">
      <alignment horizontal="center" vertical="center" wrapText="1"/>
    </xf>
    <xf numFmtId="0" fontId="30" fillId="4" borderId="47" xfId="9" applyFont="1" applyFill="1" applyBorder="1" applyAlignment="1" applyProtection="1">
      <alignment horizontal="justify" vertical="center" wrapText="1"/>
      <protection locked="0"/>
    </xf>
    <xf numFmtId="0" fontId="30" fillId="4" borderId="47" xfId="9" applyFont="1" applyFill="1" applyBorder="1" applyAlignment="1" applyProtection="1">
      <alignment horizontal="justify" vertical="center"/>
      <protection locked="0"/>
    </xf>
    <xf numFmtId="0" fontId="30" fillId="4" borderId="48" xfId="9" applyFont="1" applyFill="1" applyBorder="1" applyAlignment="1" applyProtection="1">
      <alignment horizontal="justify" vertical="center"/>
      <protection locked="0"/>
    </xf>
  </cellXfs>
  <cellStyles count="202">
    <cellStyle name="20% - Ênfase1 2" xfId="52"/>
    <cellStyle name="20% - Ênfase2 2" xfId="53"/>
    <cellStyle name="20% - Ênfase3 2" xfId="54"/>
    <cellStyle name="20% - Ênfase4 2" xfId="55"/>
    <cellStyle name="20% - Ênfase5 2" xfId="56"/>
    <cellStyle name="20% - Ênfase6 2" xfId="57"/>
    <cellStyle name="40% - Ênfase1 2" xfId="58"/>
    <cellStyle name="40% - Ênfase2 2" xfId="59"/>
    <cellStyle name="40% - Ênfase3 2" xfId="60"/>
    <cellStyle name="40% - Ênfase4 2" xfId="61"/>
    <cellStyle name="40% - Ênfase5 2" xfId="62"/>
    <cellStyle name="40% - Ênfase6 2" xfId="63"/>
    <cellStyle name="60% - Ênfase1 2" xfId="64"/>
    <cellStyle name="60% - Ênfase2 2" xfId="65"/>
    <cellStyle name="60% - Ênfase3 2" xfId="66"/>
    <cellStyle name="60% - Ênfase4 2" xfId="67"/>
    <cellStyle name="60% - Ênfase5 2" xfId="68"/>
    <cellStyle name="60% - Ênfase6 2" xfId="69"/>
    <cellStyle name="Bom 2" xfId="70"/>
    <cellStyle name="Cálculo 2" xfId="71"/>
    <cellStyle name="Cancel" xfId="23"/>
    <cellStyle name="Célula de Verificação 2" xfId="72"/>
    <cellStyle name="Célula Vinculada 2" xfId="73"/>
    <cellStyle name="Data" xfId="3"/>
    <cellStyle name="Data 2" xfId="74"/>
    <cellStyle name="Ênfase1 2" xfId="75"/>
    <cellStyle name="Ênfase2 2" xfId="76"/>
    <cellStyle name="Ênfase3 2" xfId="77"/>
    <cellStyle name="Ênfase4 2" xfId="78"/>
    <cellStyle name="Ênfase5 2" xfId="79"/>
    <cellStyle name="Ênfase6 2" xfId="80"/>
    <cellStyle name="Entrada 2" xfId="81"/>
    <cellStyle name="Euro" xfId="4"/>
    <cellStyle name="Euro 2" xfId="82"/>
    <cellStyle name="Fixo" xfId="5"/>
    <cellStyle name="Incorreto 2" xfId="83"/>
    <cellStyle name="Moeda" xfId="200" builtinId="4"/>
    <cellStyle name="Moeda 2" xfId="84"/>
    <cellStyle name="Moeda 3" xfId="85"/>
    <cellStyle name="Moeda 4" xfId="86"/>
    <cellStyle name="Moeda 4 2" xfId="140"/>
    <cellStyle name="Moeda 4 2 2" xfId="198"/>
    <cellStyle name="Moeda 4 3" xfId="169"/>
    <cellStyle name="Neutra 2" xfId="87"/>
    <cellStyle name="Normal" xfId="0" builtinId="0"/>
    <cellStyle name="Normal 10" xfId="121"/>
    <cellStyle name="Normal 10 2" xfId="180"/>
    <cellStyle name="Normal 11" xfId="122"/>
    <cellStyle name="Normal 11 2" xfId="181"/>
    <cellStyle name="Normal 12" xfId="132"/>
    <cellStyle name="Normal 12 2" xfId="142"/>
    <cellStyle name="Normal 12 2 2" xfId="199"/>
    <cellStyle name="Normal 12 3" xfId="191"/>
    <cellStyle name="Normal 13" xfId="201"/>
    <cellStyle name="Normal 2" xfId="6"/>
    <cellStyle name="Normal 2 10" xfId="28"/>
    <cellStyle name="Normal 2 2" xfId="31"/>
    <cellStyle name="Normal 2 2 2" xfId="88"/>
    <cellStyle name="Normal 2 2 2 2" xfId="170"/>
    <cellStyle name="Normal 2 2 3" xfId="152"/>
    <cellStyle name="Normal 2 3" xfId="89"/>
    <cellStyle name="Normal 2 3 2" xfId="171"/>
    <cellStyle name="Normal 2 4" xfId="90"/>
    <cellStyle name="Normal 2 4 2" xfId="172"/>
    <cellStyle name="Normal 2 5" xfId="114"/>
    <cellStyle name="Normal 2 5 2" xfId="141"/>
    <cellStyle name="Normal 2 6" xfId="116"/>
    <cellStyle name="Normal 2 7" xfId="117"/>
    <cellStyle name="Normal 2 8" xfId="119"/>
    <cellStyle name="Normal 2 9" xfId="120"/>
    <cellStyle name="Normal 2_QUANT_HELBOR BELVEDERE R06_Area Estruturada Priscila" xfId="91"/>
    <cellStyle name="Normal 3" xfId="24"/>
    <cellStyle name="Normal 3 2" xfId="92"/>
    <cellStyle name="Normal 3 3" xfId="44"/>
    <cellStyle name="Normal 3 3 10" xfId="124"/>
    <cellStyle name="Normal 3 3 10 2" xfId="134"/>
    <cellStyle name="Normal 3 3 10 2 2" xfId="193"/>
    <cellStyle name="Normal 3 3 10 3" xfId="183"/>
    <cellStyle name="Normal 3 3 11" xfId="125"/>
    <cellStyle name="Normal 3 3 11 2" xfId="184"/>
    <cellStyle name="Normal 3 3 12" xfId="126"/>
    <cellStyle name="Normal 3 3 12 2" xfId="185"/>
    <cellStyle name="Normal 3 3 13" xfId="127"/>
    <cellStyle name="Normal 3 3 13 2" xfId="186"/>
    <cellStyle name="Normal 3 3 14" xfId="128"/>
    <cellStyle name="Normal 3 3 14 2" xfId="187"/>
    <cellStyle name="Normal 3 3 15" xfId="129"/>
    <cellStyle name="Normal 3 3 15 2" xfId="188"/>
    <cellStyle name="Normal 3 3 16" xfId="130"/>
    <cellStyle name="Normal 3 3 16 2" xfId="189"/>
    <cellStyle name="Normal 3 3 17" xfId="161"/>
    <cellStyle name="Normal 3 3 2" xfId="45"/>
    <cellStyle name="Normal 3 3 2 2" xfId="162"/>
    <cellStyle name="Normal 3 3 3" xfId="46"/>
    <cellStyle name="Normal 3 3 3 2" xfId="163"/>
    <cellStyle name="Normal 3 3 4" xfId="47"/>
    <cellStyle name="Normal 3 3 4 2" xfId="164"/>
    <cellStyle name="Normal 3 3 5" xfId="48"/>
    <cellStyle name="Normal 3 3 5 2" xfId="165"/>
    <cellStyle name="Normal 3 3 6" xfId="49"/>
    <cellStyle name="Normal 3 3 6 2" xfId="166"/>
    <cellStyle name="Normal 3 3 7" xfId="50"/>
    <cellStyle name="Normal 3 3 7 2" xfId="167"/>
    <cellStyle name="Normal 3 3 8" xfId="51"/>
    <cellStyle name="Normal 3 3 8 2" xfId="168"/>
    <cellStyle name="Normal 3 3 9" xfId="123"/>
    <cellStyle name="Normal 3 3 9 2" xfId="182"/>
    <cellStyle name="Normal 3 4" xfId="29"/>
    <cellStyle name="Normal 3 4 2" xfId="150"/>
    <cellStyle name="Normal 4" xfId="2"/>
    <cellStyle name="Normal 4 2" xfId="93"/>
    <cellStyle name="Normal 5" xfId="27"/>
    <cellStyle name="Normal 5 2" xfId="95"/>
    <cellStyle name="Normal 5 3" xfId="94"/>
    <cellStyle name="Normal 5 3 2" xfId="173"/>
    <cellStyle name="Normal 5 4" xfId="149"/>
    <cellStyle name="Normal 6" xfId="96"/>
    <cellStyle name="Normal 7" xfId="97"/>
    <cellStyle name="Normal 8" xfId="40"/>
    <cellStyle name="Normal 9" xfId="118"/>
    <cellStyle name="Normal 9 2" xfId="179"/>
    <cellStyle name="Normal_CS-COMP" xfId="7"/>
    <cellStyle name="Normal_modelo_lev_rev_interno" xfId="145"/>
    <cellStyle name="Normal_Plan1 (2)" xfId="8"/>
    <cellStyle name="Normal_Plan1 (4)" xfId="9"/>
    <cellStyle name="Normal_RESESTR (2)" xfId="10"/>
    <cellStyle name="Nota 2" xfId="98"/>
    <cellStyle name="Percentual" xfId="11"/>
    <cellStyle name="Ponto" xfId="12"/>
    <cellStyle name="Porcentagem" xfId="144" builtinId="5"/>
    <cellStyle name="Porcentagem 2" xfId="14"/>
    <cellStyle name="Porcentagem 2 2" xfId="33"/>
    <cellStyle name="Porcentagem 2 2 2" xfId="136"/>
    <cellStyle name="Porcentagem 2 2 2 2" xfId="195"/>
    <cellStyle name="Porcentagem 2 2 3" xfId="154"/>
    <cellStyle name="Porcentagem 2 3" xfId="115"/>
    <cellStyle name="Porcentagem 2 4" xfId="32"/>
    <cellStyle name="Porcentagem 2 4 2" xfId="153"/>
    <cellStyle name="Porcentagem 3" xfId="13"/>
    <cellStyle name="Porcentagem 3 2" xfId="100"/>
    <cellStyle name="Porcentagem 3 2 2" xfId="34"/>
    <cellStyle name="Porcentagem 3 2 2 2" xfId="135"/>
    <cellStyle name="Porcentagem 3 2 2 2 2" xfId="194"/>
    <cellStyle name="Porcentagem 3 2 2 3" xfId="155"/>
    <cellStyle name="Porcentagem 3 2 3" xfId="174"/>
    <cellStyle name="Porcentagem 3 3" xfId="101"/>
    <cellStyle name="Porcentagem 3 3 2" xfId="175"/>
    <cellStyle name="Porcentagem 3 4" xfId="99"/>
    <cellStyle name="Porcentagem 3 5" xfId="146"/>
    <cellStyle name="Saída 2" xfId="102"/>
    <cellStyle name="Separador de milhares 2" xfId="22"/>
    <cellStyle name="Separador de milhares 2 2" xfId="35"/>
    <cellStyle name="Separador de milhares 2 2 2" xfId="36"/>
    <cellStyle name="Separador de milhares 2 2 2 2" xfId="138"/>
    <cellStyle name="Separador de milhares 2 2 3" xfId="103"/>
    <cellStyle name="Separador de milhares 2 2 4" xfId="37"/>
    <cellStyle name="Separador de milhares 2 2 4 2" xfId="26"/>
    <cellStyle name="Separador de milhares 2 2 4 2 2" xfId="148"/>
    <cellStyle name="Separador de milhares 2 2 4 3" xfId="157"/>
    <cellStyle name="Separador de milhares 2 2 5" xfId="156"/>
    <cellStyle name="Separador de milhares 2 3" xfId="41"/>
    <cellStyle name="Separador de milhares 2 4" xfId="42"/>
    <cellStyle name="Separador de milhares 2 4 2" xfId="137"/>
    <cellStyle name="Separador de milhares 2 4 2 2" xfId="196"/>
    <cellStyle name="Separador de milhares 2 4 3" xfId="159"/>
    <cellStyle name="Separador de milhares 3" xfId="25"/>
    <cellStyle name="Separador de milhares 3 2" xfId="38"/>
    <cellStyle name="Separador de milhares 3 2 2" xfId="43"/>
    <cellStyle name="Separador de milhares 3 2 2 2" xfId="133"/>
    <cellStyle name="Separador de milhares 3 2 2 2 2" xfId="192"/>
    <cellStyle name="Separador de milhares 3 2 2 3" xfId="160"/>
    <cellStyle name="Separador de milhares 3 2 3" xfId="158"/>
    <cellStyle name="Separador de milhares 3 3" xfId="104"/>
    <cellStyle name="Separador de milhares 3 3 2" xfId="176"/>
    <cellStyle name="Separador de milhares 3 4" xfId="30"/>
    <cellStyle name="Separador de milhares 3 4 2" xfId="151"/>
    <cellStyle name="Separador de milhares 4" xfId="15"/>
    <cellStyle name="Separador de milhares 4 2" xfId="39"/>
    <cellStyle name="Separador de milhares 4 3" xfId="139"/>
    <cellStyle name="Separador de milhares 4 3 2" xfId="197"/>
    <cellStyle name="Separador de milhares 4 4" xfId="147"/>
    <cellStyle name="Separador de milhares 5" xfId="105"/>
    <cellStyle name="Separador de milhares 5 2" xfId="106"/>
    <cellStyle name="Separador de milhares 5 3" xfId="177"/>
    <cellStyle name="Separador de milhares 6" xfId="107"/>
    <cellStyle name="Separador de milhares 6 2" xfId="178"/>
    <cellStyle name="Separador de milhares 7" xfId="108"/>
    <cellStyle name="Separador de milhares 8" xfId="143"/>
    <cellStyle name="Texto de Aviso 2" xfId="109"/>
    <cellStyle name="Texto Explicativo 2" xfId="110"/>
    <cellStyle name="Título 1 2" xfId="16"/>
    <cellStyle name="Título 2 2" xfId="17"/>
    <cellStyle name="Título 3 2" xfId="111"/>
    <cellStyle name="Título 4 2" xfId="112"/>
    <cellStyle name="Título 5" xfId="113"/>
    <cellStyle name="Titulo1" xfId="18"/>
    <cellStyle name="Titulo2" xfId="19"/>
    <cellStyle name="titulos" xfId="20"/>
    <cellStyle name="Total 2" xfId="21"/>
    <cellStyle name="Vírgula" xfId="1" builtinId="3"/>
    <cellStyle name="Vírgula 2" xfId="131"/>
    <cellStyle name="Vírgula 2 2" xfId="190"/>
  </cellStyles>
  <dxfs count="17"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  <colors>
    <mruColors>
      <color rgb="FFF8F8F8"/>
      <color rgb="FFEAEAEA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56030</xdr:colOff>
      <xdr:row>0</xdr:row>
      <xdr:rowOff>67236</xdr:rowOff>
    </xdr:from>
    <xdr:to>
      <xdr:col>2</xdr:col>
      <xdr:colOff>422463</xdr:colOff>
      <xdr:row>4</xdr:row>
      <xdr:rowOff>33618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089" y="67236"/>
          <a:ext cx="971550" cy="7283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495301</xdr:colOff>
      <xdr:row>1</xdr:row>
      <xdr:rowOff>19051</xdr:rowOff>
    </xdr:from>
    <xdr:ext cx="1790700" cy="876300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xmlns="" id="{5D215F0E-F3AE-4659-9F5B-994793347781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81101" y="200026"/>
          <a:ext cx="1790700" cy="876300"/>
        </a:xfrm>
        <a:prstGeom prst="rect">
          <a:avLst/>
        </a:prstGeom>
        <a:noFill/>
      </xdr:spPr>
    </xdr:pic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81242</xdr:rowOff>
    </xdr:from>
    <xdr:to>
      <xdr:col>2</xdr:col>
      <xdr:colOff>485775</xdr:colOff>
      <xdr:row>5</xdr:row>
      <xdr:rowOff>71718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81242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76200</xdr:rowOff>
    </xdr:from>
    <xdr:to>
      <xdr:col>4</xdr:col>
      <xdr:colOff>95250</xdr:colOff>
      <xdr:row>5</xdr:row>
      <xdr:rowOff>66676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6200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209550</xdr:colOff>
      <xdr:row>36</xdr:row>
      <xdr:rowOff>104775</xdr:rowOff>
    </xdr:from>
    <xdr:to>
      <xdr:col>13</xdr:col>
      <xdr:colOff>95250</xdr:colOff>
      <xdr:row>38</xdr:row>
      <xdr:rowOff>12038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7896225"/>
          <a:ext cx="2571750" cy="478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44824</xdr:colOff>
      <xdr:row>0</xdr:row>
      <xdr:rowOff>44824</xdr:rowOff>
    </xdr:from>
    <xdr:to>
      <xdr:col>4</xdr:col>
      <xdr:colOff>145117</xdr:colOff>
      <xdr:row>6</xdr:row>
      <xdr:rowOff>19612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A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124" y="44824"/>
          <a:ext cx="1024218" cy="7177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76200</xdr:rowOff>
    </xdr:from>
    <xdr:to>
      <xdr:col>4</xdr:col>
      <xdr:colOff>95250</xdr:colOff>
      <xdr:row>5</xdr:row>
      <xdr:rowOff>66676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6200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209550</xdr:colOff>
      <xdr:row>36</xdr:row>
      <xdr:rowOff>104775</xdr:rowOff>
    </xdr:from>
    <xdr:to>
      <xdr:col>13</xdr:col>
      <xdr:colOff>95250</xdr:colOff>
      <xdr:row>38</xdr:row>
      <xdr:rowOff>12038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7896225"/>
          <a:ext cx="2571750" cy="478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44824</xdr:colOff>
      <xdr:row>0</xdr:row>
      <xdr:rowOff>44824</xdr:rowOff>
    </xdr:from>
    <xdr:to>
      <xdr:col>4</xdr:col>
      <xdr:colOff>145117</xdr:colOff>
      <xdr:row>6</xdr:row>
      <xdr:rowOff>19612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B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124" y="44824"/>
          <a:ext cx="1024218" cy="71773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81642</xdr:colOff>
      <xdr:row>0</xdr:row>
      <xdr:rowOff>81642</xdr:rowOff>
    </xdr:from>
    <xdr:to>
      <xdr:col>2</xdr:col>
      <xdr:colOff>444072</xdr:colOff>
      <xdr:row>5</xdr:row>
      <xdr:rowOff>78922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C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499" y="81642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81242</xdr:rowOff>
    </xdr:from>
    <xdr:to>
      <xdr:col>2</xdr:col>
      <xdr:colOff>504825</xdr:colOff>
      <xdr:row>5</xdr:row>
      <xdr:rowOff>71718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71742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81242</xdr:rowOff>
    </xdr:from>
    <xdr:to>
      <xdr:col>2</xdr:col>
      <xdr:colOff>485775</xdr:colOff>
      <xdr:row>5</xdr:row>
      <xdr:rowOff>71718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1242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</xdr:colOff>
      <xdr:row>0</xdr:row>
      <xdr:rowOff>47625</xdr:rowOff>
    </xdr:from>
    <xdr:to>
      <xdr:col>2</xdr:col>
      <xdr:colOff>400050</xdr:colOff>
      <xdr:row>4</xdr:row>
      <xdr:rowOff>9526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47625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28575</xdr:colOff>
      <xdr:row>0</xdr:row>
      <xdr:rowOff>57150</xdr:rowOff>
    </xdr:from>
    <xdr:to>
      <xdr:col>2</xdr:col>
      <xdr:colOff>419100</xdr:colOff>
      <xdr:row>4</xdr:row>
      <xdr:rowOff>123826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57150"/>
          <a:ext cx="1019175" cy="7143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56030</xdr:colOff>
      <xdr:row>0</xdr:row>
      <xdr:rowOff>56030</xdr:rowOff>
    </xdr:from>
    <xdr:to>
      <xdr:col>2</xdr:col>
      <xdr:colOff>366433</xdr:colOff>
      <xdr:row>5</xdr:row>
      <xdr:rowOff>49307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059" y="56030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89648</xdr:colOff>
      <xdr:row>0</xdr:row>
      <xdr:rowOff>100854</xdr:rowOff>
    </xdr:from>
    <xdr:to>
      <xdr:col>2</xdr:col>
      <xdr:colOff>198346</xdr:colOff>
      <xdr:row>5</xdr:row>
      <xdr:rowOff>94131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707" y="100854"/>
          <a:ext cx="971550" cy="6096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76200</xdr:rowOff>
    </xdr:from>
    <xdr:to>
      <xdr:col>4</xdr:col>
      <xdr:colOff>95250</xdr:colOff>
      <xdr:row>6</xdr:row>
      <xdr:rowOff>133350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6200"/>
          <a:ext cx="971550" cy="8001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209550</xdr:colOff>
      <xdr:row>36</xdr:row>
      <xdr:rowOff>104775</xdr:rowOff>
    </xdr:from>
    <xdr:to>
      <xdr:col>13</xdr:col>
      <xdr:colOff>95250</xdr:colOff>
      <xdr:row>38</xdr:row>
      <xdr:rowOff>12038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7896225"/>
          <a:ext cx="2571750" cy="478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76200</xdr:rowOff>
    </xdr:from>
    <xdr:to>
      <xdr:col>4</xdr:col>
      <xdr:colOff>95250</xdr:colOff>
      <xdr:row>6</xdr:row>
      <xdr:rowOff>66675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6200"/>
          <a:ext cx="971550" cy="7334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7</xdr:col>
      <xdr:colOff>209550</xdr:colOff>
      <xdr:row>36</xdr:row>
      <xdr:rowOff>104775</xdr:rowOff>
    </xdr:from>
    <xdr:to>
      <xdr:col>13</xdr:col>
      <xdr:colOff>95250</xdr:colOff>
      <xdr:row>38</xdr:row>
      <xdr:rowOff>12038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xmlns="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0" y="7896225"/>
          <a:ext cx="2571750" cy="478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89648</xdr:colOff>
      <xdr:row>0</xdr:row>
      <xdr:rowOff>78442</xdr:rowOff>
    </xdr:from>
    <xdr:to>
      <xdr:col>2</xdr:col>
      <xdr:colOff>456081</xdr:colOff>
      <xdr:row>6</xdr:row>
      <xdr:rowOff>72279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8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1707" y="78442"/>
          <a:ext cx="971550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tabColor theme="6"/>
  </sheetPr>
  <dimension ref="B1:X35"/>
  <sheetViews>
    <sheetView showGridLines="0" view="pageBreakPreview" zoomScaleNormal="100" zoomScaleSheetLayoutView="100" workbookViewId="0">
      <selection activeCell="F28" sqref="F28:H28"/>
    </sheetView>
  </sheetViews>
  <sheetFormatPr defaultColWidth="9.140625" defaultRowHeight="15" x14ac:dyDescent="0.25"/>
  <cols>
    <col min="1" max="1" width="1.5703125" style="7" customWidth="1"/>
    <col min="2" max="4" width="9.140625" style="7"/>
    <col min="5" max="5" width="1.5703125" style="7" customWidth="1"/>
    <col min="6" max="7" width="9.140625" style="7"/>
    <col min="8" max="8" width="10.5703125" style="7" customWidth="1"/>
    <col min="9" max="9" width="1.5703125" style="7" customWidth="1"/>
    <col min="10" max="12" width="9.140625" style="7"/>
    <col min="13" max="13" width="1.5703125" style="7" customWidth="1"/>
    <col min="14" max="14" width="9.140625" style="7" customWidth="1"/>
    <col min="15" max="15" width="1.5703125" style="7" customWidth="1"/>
    <col min="16" max="16" width="9.140625" style="7"/>
    <col min="17" max="17" width="1.5703125" style="7" customWidth="1"/>
    <col min="18" max="16384" width="9.140625" style="7"/>
  </cols>
  <sheetData>
    <row r="1" spans="2:24" x14ac:dyDescent="0.25">
      <c r="B1" s="447"/>
      <c r="C1" s="447"/>
      <c r="N1" s="447"/>
      <c r="O1" s="447"/>
      <c r="P1" s="447"/>
    </row>
    <row r="2" spans="2:24" x14ac:dyDescent="0.25">
      <c r="B2" s="447"/>
      <c r="C2" s="447"/>
      <c r="N2" s="447"/>
      <c r="O2" s="447"/>
      <c r="P2" s="447"/>
    </row>
    <row r="3" spans="2:24" x14ac:dyDescent="0.25">
      <c r="B3" s="447"/>
      <c r="C3" s="447"/>
      <c r="N3" s="447"/>
      <c r="O3" s="447"/>
      <c r="P3" s="447"/>
    </row>
    <row r="4" spans="2:24" x14ac:dyDescent="0.25">
      <c r="B4" s="447"/>
      <c r="C4" s="447"/>
      <c r="N4" s="447"/>
      <c r="O4" s="447"/>
      <c r="P4" s="447"/>
    </row>
    <row r="5" spans="2:24" x14ac:dyDescent="0.25">
      <c r="B5" s="447"/>
      <c r="C5" s="447"/>
      <c r="N5" s="447"/>
      <c r="O5" s="447"/>
      <c r="P5" s="447"/>
    </row>
    <row r="6" spans="2:24" x14ac:dyDescent="0.25">
      <c r="B6" s="447"/>
      <c r="C6" s="447"/>
      <c r="F6"/>
      <c r="N6" s="447"/>
      <c r="O6" s="447"/>
      <c r="P6" s="447"/>
    </row>
    <row r="7" spans="2:24" x14ac:dyDescent="0.25">
      <c r="B7" s="447"/>
      <c r="C7" s="447"/>
      <c r="N7" s="447"/>
      <c r="O7" s="447"/>
      <c r="P7" s="447"/>
    </row>
    <row r="8" spans="2:24" x14ac:dyDescent="0.25">
      <c r="X8"/>
    </row>
    <row r="10" spans="2:24" x14ac:dyDescent="0.25">
      <c r="B10" s="448" t="s">
        <v>56</v>
      </c>
      <c r="C10" s="448"/>
      <c r="D10" s="448"/>
      <c r="E10" s="448"/>
      <c r="F10" s="448"/>
      <c r="G10" s="448"/>
      <c r="H10" s="448"/>
      <c r="I10" s="448"/>
      <c r="J10" s="448"/>
      <c r="K10" s="448"/>
      <c r="L10" s="448"/>
      <c r="M10" s="448"/>
      <c r="N10" s="448"/>
      <c r="O10" s="448"/>
      <c r="P10" s="448"/>
    </row>
    <row r="12" spans="2:24" x14ac:dyDescent="0.25">
      <c r="B12" s="14" t="s">
        <v>57</v>
      </c>
      <c r="P12" s="15"/>
    </row>
    <row r="13" spans="2:24" x14ac:dyDescent="0.25">
      <c r="B13" s="449" t="s">
        <v>790</v>
      </c>
      <c r="C13" s="445"/>
      <c r="D13" s="445"/>
      <c r="E13" s="445"/>
      <c r="F13" s="445"/>
      <c r="G13" s="445"/>
      <c r="H13" s="445"/>
      <c r="I13" s="445"/>
      <c r="J13" s="445"/>
      <c r="K13" s="445"/>
      <c r="L13" s="445"/>
      <c r="M13" s="445"/>
      <c r="N13" s="445"/>
      <c r="O13" s="445"/>
      <c r="P13" s="446"/>
    </row>
    <row r="14" spans="2:24" ht="6" customHeight="1" x14ac:dyDescent="0.25"/>
    <row r="15" spans="2:24" x14ac:dyDescent="0.25">
      <c r="B15" s="14" t="s">
        <v>94</v>
      </c>
      <c r="P15" s="15"/>
    </row>
    <row r="16" spans="2:24" x14ac:dyDescent="0.25">
      <c r="B16" s="444" t="s">
        <v>1679</v>
      </c>
      <c r="C16" s="445"/>
      <c r="D16" s="445"/>
      <c r="E16" s="445"/>
      <c r="F16" s="445"/>
      <c r="G16" s="445"/>
      <c r="H16" s="445"/>
      <c r="I16" s="445"/>
      <c r="J16" s="445"/>
      <c r="K16" s="445"/>
      <c r="L16" s="445"/>
      <c r="M16" s="445"/>
      <c r="N16" s="445"/>
      <c r="O16" s="445"/>
      <c r="P16" s="446"/>
    </row>
    <row r="17" spans="2:16" ht="6" customHeight="1" x14ac:dyDescent="0.25"/>
    <row r="18" spans="2:16" x14ac:dyDescent="0.25">
      <c r="B18" s="14" t="s">
        <v>58</v>
      </c>
      <c r="P18" s="15"/>
    </row>
    <row r="19" spans="2:16" x14ac:dyDescent="0.25">
      <c r="B19" s="444" t="s">
        <v>791</v>
      </c>
      <c r="C19" s="445"/>
      <c r="D19" s="445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6"/>
    </row>
    <row r="20" spans="2:16" ht="6" customHeight="1" x14ac:dyDescent="0.25"/>
    <row r="21" spans="2:16" x14ac:dyDescent="0.25">
      <c r="B21" s="14" t="s">
        <v>59</v>
      </c>
      <c r="H21" s="15"/>
      <c r="J21" s="14" t="s">
        <v>60</v>
      </c>
      <c r="N21" s="15"/>
      <c r="P21" s="16" t="s">
        <v>61</v>
      </c>
    </row>
    <row r="22" spans="2:16" x14ac:dyDescent="0.25">
      <c r="B22" s="444" t="s">
        <v>792</v>
      </c>
      <c r="C22" s="445"/>
      <c r="D22" s="445"/>
      <c r="E22" s="445"/>
      <c r="F22" s="445"/>
      <c r="G22" s="445"/>
      <c r="H22" s="446"/>
      <c r="I22" s="17"/>
      <c r="J22" s="444" t="s">
        <v>793</v>
      </c>
      <c r="K22" s="445"/>
      <c r="L22" s="445"/>
      <c r="M22" s="445"/>
      <c r="N22" s="446"/>
      <c r="O22" s="18"/>
      <c r="P22" s="19" t="s">
        <v>794</v>
      </c>
    </row>
    <row r="23" spans="2:16" ht="6" customHeight="1" x14ac:dyDescent="0.25"/>
    <row r="24" spans="2:16" x14ac:dyDescent="0.25">
      <c r="B24" s="14" t="s">
        <v>62</v>
      </c>
      <c r="D24" s="15"/>
      <c r="F24" s="14" t="s">
        <v>309</v>
      </c>
      <c r="H24" s="15"/>
      <c r="J24" s="14" t="s">
        <v>63</v>
      </c>
      <c r="L24" s="15"/>
      <c r="N24" s="14" t="s">
        <v>64</v>
      </c>
      <c r="P24" s="15"/>
    </row>
    <row r="25" spans="2:16" x14ac:dyDescent="0.25">
      <c r="B25" s="450"/>
      <c r="C25" s="451"/>
      <c r="D25" s="452"/>
      <c r="E25" s="17"/>
      <c r="F25" s="453">
        <f>+'BDI OBRA - ONERADO'!I31/100</f>
        <v>0.21960000000000002</v>
      </c>
      <c r="G25" s="454"/>
      <c r="H25" s="455"/>
      <c r="I25" s="17"/>
      <c r="J25" s="456">
        <v>1.1186</v>
      </c>
      <c r="K25" s="454"/>
      <c r="L25" s="455"/>
      <c r="M25" s="17"/>
      <c r="N25" s="457" t="s">
        <v>796</v>
      </c>
      <c r="O25" s="451"/>
      <c r="P25" s="452"/>
    </row>
    <row r="26" spans="2:16" ht="6" customHeight="1" x14ac:dyDescent="0.25"/>
    <row r="27" spans="2:16" x14ac:dyDescent="0.25">
      <c r="B27" s="14" t="s">
        <v>27</v>
      </c>
      <c r="D27" s="15"/>
      <c r="F27" s="14" t="s">
        <v>310</v>
      </c>
      <c r="H27" s="15"/>
      <c r="J27" s="14" t="s">
        <v>65</v>
      </c>
      <c r="L27" s="15"/>
      <c r="N27" s="14" t="s">
        <v>9</v>
      </c>
      <c r="P27" s="15"/>
    </row>
    <row r="28" spans="2:16" x14ac:dyDescent="0.25">
      <c r="B28" s="458" t="s">
        <v>795</v>
      </c>
      <c r="C28" s="451"/>
      <c r="D28" s="452"/>
      <c r="E28" s="17"/>
      <c r="F28" s="453">
        <f>+'BDI DIFERENCIADO - ONERADO'!I31/100</f>
        <v>0.1527</v>
      </c>
      <c r="G28" s="454"/>
      <c r="H28" s="455"/>
      <c r="I28" s="17"/>
      <c r="J28" s="453">
        <v>0.70630000000000004</v>
      </c>
      <c r="K28" s="454"/>
      <c r="L28" s="455"/>
      <c r="N28" s="459">
        <v>44733</v>
      </c>
      <c r="O28" s="451"/>
      <c r="P28" s="452"/>
    </row>
    <row r="29" spans="2:16" ht="6" customHeight="1" x14ac:dyDescent="0.25"/>
    <row r="30" spans="2:16" x14ac:dyDescent="0.25">
      <c r="B30" s="14" t="s">
        <v>44</v>
      </c>
      <c r="P30" s="15"/>
    </row>
    <row r="31" spans="2:16" ht="77.45" customHeight="1" x14ac:dyDescent="0.25">
      <c r="B31" s="449" t="s">
        <v>1680</v>
      </c>
      <c r="C31" s="445"/>
      <c r="D31" s="445"/>
      <c r="E31" s="445"/>
      <c r="F31" s="445"/>
      <c r="G31" s="445"/>
      <c r="H31" s="445"/>
      <c r="I31" s="445"/>
      <c r="J31" s="445"/>
      <c r="K31" s="445"/>
      <c r="L31" s="445"/>
      <c r="M31" s="445"/>
      <c r="N31" s="445"/>
      <c r="O31" s="445"/>
      <c r="P31" s="446"/>
    </row>
    <row r="35" spans="8:8" x14ac:dyDescent="0.25">
      <c r="H35"/>
    </row>
  </sheetData>
  <mergeCells count="17">
    <mergeCell ref="B28:D28"/>
    <mergeCell ref="F28:H28"/>
    <mergeCell ref="J28:L28"/>
    <mergeCell ref="N28:P28"/>
    <mergeCell ref="B31:P31"/>
    <mergeCell ref="B22:H22"/>
    <mergeCell ref="J22:N22"/>
    <mergeCell ref="B25:D25"/>
    <mergeCell ref="F25:H25"/>
    <mergeCell ref="J25:L25"/>
    <mergeCell ref="N25:P25"/>
    <mergeCell ref="B19:P19"/>
    <mergeCell ref="B1:C7"/>
    <mergeCell ref="N1:P7"/>
    <mergeCell ref="B10:P10"/>
    <mergeCell ref="B13:P13"/>
    <mergeCell ref="B16:P1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3" orientation="portrait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2:Y14"/>
  <sheetViews>
    <sheetView view="pageBreakPreview" zoomScale="60" zoomScaleNormal="100" workbookViewId="0">
      <selection activeCell="AM59" sqref="AM59"/>
    </sheetView>
  </sheetViews>
  <sheetFormatPr defaultColWidth="8.85546875" defaultRowHeight="15" x14ac:dyDescent="0.25"/>
  <cols>
    <col min="3" max="3" width="26.42578125" customWidth="1"/>
    <col min="6" max="6" width="13.85546875" customWidth="1"/>
    <col min="11" max="11" width="11.85546875" customWidth="1"/>
  </cols>
  <sheetData>
    <row r="2" spans="1:25" ht="12.75" customHeight="1" x14ac:dyDescent="0.25">
      <c r="A2" s="652"/>
      <c r="B2" s="653"/>
      <c r="C2" s="654"/>
      <c r="D2" s="660" t="s">
        <v>1257</v>
      </c>
      <c r="E2" s="653"/>
      <c r="F2" s="653"/>
      <c r="G2" s="653"/>
      <c r="H2" s="653"/>
      <c r="I2" s="653"/>
      <c r="J2" s="653"/>
      <c r="K2" s="654"/>
      <c r="L2" s="409"/>
      <c r="M2" s="409"/>
      <c r="N2" s="409"/>
      <c r="O2" s="409"/>
      <c r="P2" s="409"/>
      <c r="Q2" s="409"/>
      <c r="R2" s="409"/>
      <c r="S2" s="409"/>
      <c r="T2" s="409"/>
      <c r="U2" s="409"/>
      <c r="V2" s="409"/>
      <c r="W2" s="409"/>
      <c r="X2" s="409"/>
      <c r="Y2" s="409"/>
    </row>
    <row r="3" spans="1:25" ht="12.75" customHeight="1" x14ac:dyDescent="0.25">
      <c r="A3" s="655"/>
      <c r="B3" s="504"/>
      <c r="C3" s="656"/>
      <c r="D3" s="655"/>
      <c r="E3" s="504"/>
      <c r="F3" s="504"/>
      <c r="G3" s="504"/>
      <c r="H3" s="504"/>
      <c r="I3" s="504"/>
      <c r="J3" s="504"/>
      <c r="K3" s="656"/>
      <c r="L3" s="409"/>
      <c r="M3" s="409"/>
      <c r="N3" s="409"/>
      <c r="O3" s="409"/>
      <c r="P3" s="409"/>
      <c r="Q3" s="409"/>
      <c r="R3" s="409"/>
      <c r="S3" s="409"/>
      <c r="T3" s="409"/>
      <c r="U3" s="409"/>
      <c r="V3" s="409"/>
      <c r="W3" s="409"/>
      <c r="X3" s="409"/>
      <c r="Y3" s="409"/>
    </row>
    <row r="4" spans="1:25" ht="50.25" customHeight="1" x14ac:dyDescent="0.25">
      <c r="A4" s="657"/>
      <c r="B4" s="658"/>
      <c r="C4" s="659"/>
      <c r="D4" s="657"/>
      <c r="E4" s="658"/>
      <c r="F4" s="658"/>
      <c r="G4" s="658"/>
      <c r="H4" s="658"/>
      <c r="I4" s="658"/>
      <c r="J4" s="658"/>
      <c r="K4" s="659"/>
      <c r="L4" s="409"/>
      <c r="M4" s="409"/>
      <c r="N4" s="409"/>
      <c r="O4" s="409"/>
      <c r="P4" s="409"/>
      <c r="Q4" s="409"/>
      <c r="R4" s="409"/>
      <c r="S4" s="409"/>
      <c r="T4" s="409"/>
      <c r="U4" s="409"/>
      <c r="V4" s="409"/>
      <c r="W4" s="409"/>
      <c r="X4" s="409"/>
      <c r="Y4" s="409"/>
    </row>
    <row r="5" spans="1:25" ht="12.75" customHeight="1" x14ac:dyDescent="0.25">
      <c r="A5" s="661" t="s">
        <v>1258</v>
      </c>
      <c r="B5" s="653"/>
      <c r="C5" s="662"/>
      <c r="D5" s="663" t="s">
        <v>1259</v>
      </c>
      <c r="E5" s="664"/>
      <c r="F5" s="664"/>
      <c r="G5" s="664"/>
      <c r="H5" s="664"/>
      <c r="I5" s="664"/>
      <c r="J5" s="664"/>
      <c r="K5" s="665"/>
      <c r="L5" s="409"/>
      <c r="M5" s="409"/>
      <c r="N5" s="409"/>
      <c r="O5" s="409"/>
      <c r="P5" s="409"/>
      <c r="Q5" s="409"/>
      <c r="R5" s="409"/>
      <c r="S5" s="409"/>
      <c r="T5" s="409"/>
      <c r="U5" s="409"/>
      <c r="V5" s="409"/>
      <c r="W5" s="409"/>
      <c r="X5" s="409"/>
      <c r="Y5" s="409"/>
    </row>
    <row r="6" spans="1:25" ht="12.75" customHeight="1" x14ac:dyDescent="0.25">
      <c r="A6" s="666" t="s">
        <v>1260</v>
      </c>
      <c r="B6" s="658"/>
      <c r="C6" s="658"/>
      <c r="D6" s="667" t="s">
        <v>1261</v>
      </c>
      <c r="E6" s="668"/>
      <c r="F6" s="668"/>
      <c r="G6" s="668"/>
      <c r="H6" s="668"/>
      <c r="I6" s="668"/>
      <c r="J6" s="668"/>
      <c r="K6" s="668"/>
      <c r="L6" s="409"/>
      <c r="M6" s="409"/>
      <c r="N6" s="409"/>
      <c r="O6" s="409"/>
      <c r="P6" s="409"/>
      <c r="Q6" s="409"/>
      <c r="R6" s="409"/>
      <c r="S6" s="409"/>
      <c r="T6" s="409"/>
      <c r="U6" s="409"/>
      <c r="V6" s="409"/>
      <c r="W6" s="409"/>
      <c r="X6" s="409"/>
      <c r="Y6" s="409"/>
    </row>
    <row r="7" spans="1:25" ht="12.75" customHeight="1" x14ac:dyDescent="0.25">
      <c r="A7" s="631"/>
      <c r="B7" s="504"/>
      <c r="C7" s="504"/>
      <c r="D7" s="504"/>
      <c r="E7" s="504"/>
      <c r="F7" s="504"/>
      <c r="G7" s="504"/>
      <c r="H7" s="504"/>
      <c r="I7" s="504"/>
      <c r="J7" s="504"/>
      <c r="K7" s="504"/>
      <c r="L7" s="409"/>
      <c r="M7" s="409"/>
      <c r="N7" s="409"/>
      <c r="O7" s="409"/>
      <c r="P7" s="409"/>
      <c r="Q7" s="409"/>
      <c r="R7" s="409"/>
      <c r="S7" s="409"/>
      <c r="T7" s="409"/>
      <c r="U7" s="409"/>
      <c r="V7" s="409"/>
      <c r="W7" s="409"/>
      <c r="X7" s="409"/>
      <c r="Y7" s="409"/>
    </row>
    <row r="8" spans="1:25" ht="12.75" customHeight="1" x14ac:dyDescent="0.25">
      <c r="A8" s="632">
        <v>1</v>
      </c>
      <c r="B8" s="635" t="s">
        <v>1262</v>
      </c>
      <c r="C8" s="637" t="s">
        <v>45</v>
      </c>
      <c r="D8" s="638" t="s">
        <v>274</v>
      </c>
      <c r="E8" s="639"/>
      <c r="F8" s="635" t="s">
        <v>1263</v>
      </c>
      <c r="G8" s="638" t="s">
        <v>1264</v>
      </c>
      <c r="H8" s="642"/>
      <c r="I8" s="639"/>
      <c r="J8" s="638" t="s">
        <v>1265</v>
      </c>
      <c r="K8" s="639"/>
      <c r="L8" s="409"/>
      <c r="M8" s="409"/>
      <c r="N8" s="409"/>
      <c r="O8" s="409"/>
      <c r="P8" s="409"/>
      <c r="Q8" s="409"/>
      <c r="R8" s="409"/>
      <c r="S8" s="409"/>
      <c r="T8" s="409"/>
      <c r="U8" s="409"/>
      <c r="V8" s="409"/>
      <c r="W8" s="409"/>
      <c r="X8" s="409"/>
      <c r="Y8" s="409"/>
    </row>
    <row r="9" spans="1:25" ht="12.75" customHeight="1" x14ac:dyDescent="0.25">
      <c r="A9" s="633"/>
      <c r="B9" s="636"/>
      <c r="C9" s="636"/>
      <c r="D9" s="640"/>
      <c r="E9" s="641"/>
      <c r="F9" s="636"/>
      <c r="G9" s="640"/>
      <c r="H9" s="643"/>
      <c r="I9" s="641"/>
      <c r="J9" s="640"/>
      <c r="K9" s="641"/>
      <c r="L9" s="409"/>
      <c r="M9" s="409"/>
      <c r="N9" s="409"/>
      <c r="O9" s="409"/>
      <c r="P9" s="409"/>
      <c r="Q9" s="409"/>
      <c r="R9" s="409"/>
      <c r="S9" s="409"/>
      <c r="T9" s="409"/>
      <c r="U9" s="409"/>
      <c r="V9" s="409"/>
      <c r="W9" s="409"/>
      <c r="X9" s="409"/>
      <c r="Y9" s="409"/>
    </row>
    <row r="10" spans="1:25" ht="39.75" customHeight="1" x14ac:dyDescent="0.25">
      <c r="A10" s="633"/>
      <c r="B10" s="410" t="s">
        <v>1266</v>
      </c>
      <c r="C10" s="411" t="s">
        <v>1267</v>
      </c>
      <c r="D10" s="644" t="s">
        <v>1276</v>
      </c>
      <c r="E10" s="645"/>
      <c r="F10" s="410" t="s">
        <v>1263</v>
      </c>
      <c r="G10" s="646">
        <f>AVERAGE(G12:I14)</f>
        <v>16314.56</v>
      </c>
      <c r="H10" s="647"/>
      <c r="I10" s="645"/>
      <c r="J10" s="648"/>
      <c r="K10" s="645"/>
      <c r="L10" s="409"/>
      <c r="M10" s="409"/>
      <c r="N10" s="409"/>
      <c r="O10" s="409"/>
      <c r="P10" s="409"/>
      <c r="Q10" s="409"/>
      <c r="R10" s="409"/>
      <c r="S10" s="409"/>
      <c r="T10" s="409"/>
      <c r="U10" s="409"/>
      <c r="V10" s="409"/>
      <c r="W10" s="409"/>
      <c r="X10" s="409"/>
      <c r="Y10" s="409"/>
    </row>
    <row r="11" spans="1:25" ht="12.75" customHeight="1" x14ac:dyDescent="0.25">
      <c r="A11" s="633"/>
      <c r="B11" s="412" t="s">
        <v>1268</v>
      </c>
      <c r="C11" s="649" t="s">
        <v>1269</v>
      </c>
      <c r="D11" s="629"/>
      <c r="E11" s="629"/>
      <c r="F11" s="627"/>
      <c r="G11" s="650" t="s">
        <v>1270</v>
      </c>
      <c r="H11" s="629"/>
      <c r="I11" s="627"/>
      <c r="J11" s="651" t="s">
        <v>1271</v>
      </c>
      <c r="K11" s="627"/>
      <c r="L11" s="409"/>
      <c r="M11" s="409"/>
      <c r="N11" s="409"/>
      <c r="O11" s="409"/>
      <c r="P11" s="409"/>
      <c r="Q11" s="409"/>
      <c r="R11" s="409"/>
      <c r="S11" s="409"/>
      <c r="T11" s="409"/>
      <c r="U11" s="409"/>
      <c r="V11" s="409"/>
      <c r="W11" s="409"/>
      <c r="X11" s="409"/>
      <c r="Y11" s="409"/>
    </row>
    <row r="12" spans="1:25" ht="19.5" customHeight="1" x14ac:dyDescent="0.25">
      <c r="A12" s="633"/>
      <c r="B12" s="413" t="s">
        <v>1272</v>
      </c>
      <c r="C12" s="628" t="s">
        <v>1277</v>
      </c>
      <c r="D12" s="629"/>
      <c r="E12" s="627"/>
      <c r="F12" s="414" t="s">
        <v>1275</v>
      </c>
      <c r="G12" s="630">
        <v>15630</v>
      </c>
      <c r="H12" s="629"/>
      <c r="I12" s="627"/>
      <c r="J12" s="626">
        <v>44705</v>
      </c>
      <c r="K12" s="627"/>
      <c r="L12" s="409"/>
      <c r="M12" s="409"/>
      <c r="N12" s="409"/>
      <c r="O12" s="409"/>
      <c r="P12" s="409"/>
      <c r="Q12" s="409"/>
      <c r="R12" s="409"/>
      <c r="S12" s="409"/>
      <c r="T12" s="409"/>
      <c r="U12" s="409"/>
      <c r="V12" s="409"/>
      <c r="W12" s="409"/>
      <c r="X12" s="409"/>
      <c r="Y12" s="409"/>
    </row>
    <row r="13" spans="1:25" ht="21.75" customHeight="1" x14ac:dyDescent="0.25">
      <c r="A13" s="633"/>
      <c r="B13" s="415" t="s">
        <v>1273</v>
      </c>
      <c r="C13" s="628" t="s">
        <v>1278</v>
      </c>
      <c r="D13" s="629"/>
      <c r="E13" s="627"/>
      <c r="F13" s="414" t="s">
        <v>1275</v>
      </c>
      <c r="G13" s="630">
        <v>16999.12</v>
      </c>
      <c r="H13" s="629"/>
      <c r="I13" s="627"/>
      <c r="J13" s="626">
        <v>44706</v>
      </c>
      <c r="K13" s="627"/>
      <c r="L13" s="409"/>
      <c r="M13" s="409"/>
      <c r="N13" s="409"/>
      <c r="O13" s="409"/>
      <c r="P13" s="409"/>
      <c r="Q13" s="409"/>
      <c r="R13" s="409"/>
      <c r="S13" s="409"/>
      <c r="T13" s="409"/>
      <c r="U13" s="409"/>
      <c r="V13" s="409"/>
      <c r="W13" s="409"/>
      <c r="X13" s="409"/>
      <c r="Y13" s="409"/>
    </row>
    <row r="14" spans="1:25" ht="21.75" customHeight="1" x14ac:dyDescent="0.25">
      <c r="A14" s="634"/>
      <c r="B14" s="413" t="s">
        <v>1274</v>
      </c>
      <c r="C14" s="628"/>
      <c r="D14" s="629"/>
      <c r="E14" s="627"/>
      <c r="F14" s="414" t="s">
        <v>1275</v>
      </c>
      <c r="G14" s="630"/>
      <c r="H14" s="629"/>
      <c r="I14" s="627"/>
      <c r="J14" s="626"/>
      <c r="K14" s="627"/>
      <c r="L14" s="409"/>
      <c r="M14" s="409"/>
      <c r="N14" s="409"/>
      <c r="O14" s="409"/>
      <c r="P14" s="409"/>
      <c r="Q14" s="409"/>
      <c r="R14" s="409"/>
      <c r="S14" s="409"/>
      <c r="T14" s="409"/>
      <c r="U14" s="409"/>
      <c r="V14" s="409"/>
      <c r="W14" s="409"/>
      <c r="X14" s="409"/>
      <c r="Y14" s="409"/>
    </row>
  </sheetData>
  <mergeCells count="29">
    <mergeCell ref="A2:C4"/>
    <mergeCell ref="D2:K4"/>
    <mergeCell ref="A5:C5"/>
    <mergeCell ref="D5:K5"/>
    <mergeCell ref="A6:C6"/>
    <mergeCell ref="D6:K6"/>
    <mergeCell ref="A7:K7"/>
    <mergeCell ref="A8:A14"/>
    <mergeCell ref="B8:B9"/>
    <mergeCell ref="C8:C9"/>
    <mergeCell ref="D8:E9"/>
    <mergeCell ref="F8:F9"/>
    <mergeCell ref="G8:I9"/>
    <mergeCell ref="J8:K9"/>
    <mergeCell ref="D10:E10"/>
    <mergeCell ref="G10:I10"/>
    <mergeCell ref="J10:K10"/>
    <mergeCell ref="C11:F11"/>
    <mergeCell ref="G11:I11"/>
    <mergeCell ref="J11:K11"/>
    <mergeCell ref="C12:E12"/>
    <mergeCell ref="G12:I12"/>
    <mergeCell ref="J12:K12"/>
    <mergeCell ref="C13:E13"/>
    <mergeCell ref="G13:I13"/>
    <mergeCell ref="J13:K13"/>
    <mergeCell ref="C14:E14"/>
    <mergeCell ref="G14:I14"/>
    <mergeCell ref="J14:K14"/>
  </mergeCells>
  <conditionalFormatting sqref="B10:C10 B11:B12 F12:F14 F10 J10:J12">
    <cfRule type="expression" dxfId="12" priority="29">
      <formula>IF(AND($B10="COTAÇÃO",OR($H10=0,$I10=0)),1,0)</formula>
    </cfRule>
  </conditionalFormatting>
  <conditionalFormatting sqref="G11">
    <cfRule type="expression" dxfId="11" priority="26">
      <formula>IF(AND($B11="COTAÇÃO",OR($H11=0,$I11=0)),1,0)</formula>
    </cfRule>
  </conditionalFormatting>
  <conditionalFormatting sqref="B8:C9 D8 F8:G8 F9 J8">
    <cfRule type="expression" dxfId="10" priority="30">
      <formula>IF(AND($B8="COTAÇÃO",OR($J8=0,$K8=0)),1,0)</formula>
    </cfRule>
  </conditionalFormatting>
  <conditionalFormatting sqref="G10">
    <cfRule type="expression" dxfId="9" priority="28">
      <formula>IF(AND($B10="COTAÇÃO",OR($H10=0,$I10=0)),1,0)</formula>
    </cfRule>
  </conditionalFormatting>
  <conditionalFormatting sqref="J14">
    <cfRule type="expression" dxfId="8" priority="31">
      <formula>IF(AND($B14="COTAÇÃO",OR($H14=0,$I14=0)),1,0)</formula>
    </cfRule>
  </conditionalFormatting>
  <conditionalFormatting sqref="D10">
    <cfRule type="expression" dxfId="7" priority="32">
      <formula>IF(AND($B10="COTAÇÃO",OR($H10=0,$I10=0)),1,0)</formula>
    </cfRule>
  </conditionalFormatting>
  <conditionalFormatting sqref="G12:G13">
    <cfRule type="expression" dxfId="6" priority="25">
      <formula>IF(AND($B12="COTAÇÃO",OR($H12=0,$I12=0)),1,0)</formula>
    </cfRule>
  </conditionalFormatting>
  <conditionalFormatting sqref="G14">
    <cfRule type="expression" dxfId="5" priority="27">
      <formula>IF(AND($B14="COTAÇÃO",OR($H14=0,$I14=0)),1,0)</formula>
    </cfRule>
  </conditionalFormatting>
  <conditionalFormatting sqref="J13">
    <cfRule type="expression" dxfId="4" priority="4">
      <formula>IF(AND($B13="COTAÇÃO",OR($H13=0,$I13=0)),1,0)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Y219"/>
  <sheetViews>
    <sheetView showGridLines="0" showZeros="0" tabSelected="1" view="pageBreakPreview" topLeftCell="A172" zoomScaleNormal="115" zoomScaleSheetLayoutView="100" workbookViewId="0">
      <selection activeCell="Q230" sqref="Q230"/>
    </sheetView>
  </sheetViews>
  <sheetFormatPr defaultColWidth="16" defaultRowHeight="12.75" x14ac:dyDescent="0.25"/>
  <cols>
    <col min="1" max="1" width="0.85546875" style="201" customWidth="1"/>
    <col min="2" max="2" width="7.42578125" style="202" customWidth="1"/>
    <col min="3" max="3" width="9.42578125" style="178" customWidth="1"/>
    <col min="4" max="4" width="8.42578125" style="178" customWidth="1"/>
    <col min="5" max="5" width="48.140625" style="201" customWidth="1"/>
    <col min="6" max="6" width="5.5703125" style="202" customWidth="1"/>
    <col min="7" max="7" width="9.85546875" style="243" customWidth="1"/>
    <col min="8" max="8" width="10.85546875" style="202" customWidth="1"/>
    <col min="9" max="10" width="10.140625" style="202" customWidth="1"/>
    <col min="11" max="11" width="11.42578125" style="202" customWidth="1"/>
    <col min="12" max="12" width="11.5703125" style="202" customWidth="1"/>
    <col min="13" max="13" width="13.5703125" style="243" customWidth="1"/>
    <col min="14" max="14" width="10.42578125" style="202" customWidth="1"/>
    <col min="15" max="16" width="10.140625" style="202" customWidth="1"/>
    <col min="17" max="17" width="11.42578125" style="202" customWidth="1"/>
    <col min="18" max="18" width="11.5703125" style="202" customWidth="1"/>
    <col min="19" max="19" width="12.140625" style="202" customWidth="1"/>
    <col min="20" max="20" width="7.42578125" style="202" customWidth="1"/>
    <col min="21" max="21" width="0.85546875" style="202" customWidth="1"/>
    <col min="22" max="16384" width="16" style="202"/>
  </cols>
  <sheetData>
    <row r="1" spans="2:25" s="177" customFormat="1" ht="9.9499999999999993" customHeight="1" x14ac:dyDescent="0.25">
      <c r="B1" s="468" t="s">
        <v>788</v>
      </c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469"/>
      <c r="O1" s="469"/>
      <c r="P1" s="469"/>
      <c r="Q1" s="469"/>
      <c r="R1" s="469"/>
      <c r="S1" s="469"/>
      <c r="T1" s="469"/>
    </row>
    <row r="2" spans="2:25" s="177" customFormat="1" ht="9.9499999999999993" customHeight="1" x14ac:dyDescent="0.25">
      <c r="B2" s="469"/>
      <c r="C2" s="469"/>
      <c r="D2" s="469"/>
      <c r="E2" s="469"/>
      <c r="F2" s="469"/>
      <c r="G2" s="469"/>
      <c r="H2" s="469"/>
      <c r="I2" s="469"/>
      <c r="J2" s="469"/>
      <c r="K2" s="469"/>
      <c r="L2" s="469"/>
      <c r="M2" s="469"/>
      <c r="N2" s="469"/>
      <c r="O2" s="469"/>
      <c r="P2" s="469"/>
      <c r="Q2" s="469"/>
      <c r="R2" s="469"/>
      <c r="S2" s="469"/>
      <c r="T2" s="469"/>
    </row>
    <row r="3" spans="2:25" s="177" customFormat="1" ht="9.9499999999999993" customHeight="1" x14ac:dyDescent="0.25">
      <c r="B3" s="469"/>
      <c r="C3" s="469"/>
      <c r="D3" s="469"/>
      <c r="E3" s="469"/>
      <c r="F3" s="469"/>
      <c r="G3" s="469"/>
      <c r="H3" s="469"/>
      <c r="I3" s="469"/>
      <c r="J3" s="469"/>
      <c r="K3" s="469"/>
      <c r="L3" s="469"/>
      <c r="M3" s="469"/>
      <c r="N3" s="469"/>
      <c r="O3" s="469"/>
      <c r="P3" s="469"/>
      <c r="Q3" s="469"/>
      <c r="R3" s="469"/>
      <c r="S3" s="469"/>
      <c r="T3" s="469"/>
    </row>
    <row r="4" spans="2:25" s="177" customFormat="1" ht="9.9499999999999993" customHeight="1" x14ac:dyDescent="0.25"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469"/>
      <c r="P4" s="469"/>
      <c r="Q4" s="469"/>
      <c r="R4" s="469"/>
      <c r="S4" s="469"/>
      <c r="T4" s="469"/>
    </row>
    <row r="5" spans="2:25" s="177" customFormat="1" ht="9.9499999999999993" customHeight="1" x14ac:dyDescent="0.25">
      <c r="B5" s="469"/>
      <c r="C5" s="469"/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469"/>
      <c r="S5" s="469"/>
      <c r="T5" s="469"/>
    </row>
    <row r="6" spans="2:25" s="177" customFormat="1" ht="9.9499999999999993" customHeight="1" x14ac:dyDescent="0.25"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  <c r="Q6" s="469"/>
      <c r="R6" s="469"/>
      <c r="S6" s="469"/>
      <c r="T6" s="469"/>
    </row>
    <row r="7" spans="2:25" s="177" customFormat="1" x14ac:dyDescent="0.25">
      <c r="C7" s="178"/>
      <c r="M7" s="179"/>
    </row>
    <row r="8" spans="2:25" s="180" customFormat="1" ht="15" customHeight="1" x14ac:dyDescent="0.25">
      <c r="B8" s="181" t="s">
        <v>50</v>
      </c>
      <c r="C8" s="182" t="str">
        <f>'DADOS DA OBRA'!$B$13</f>
        <v>TRIBUNAL REGIONAL ELEITORAL - PIAUÍ</v>
      </c>
      <c r="F8" s="183"/>
      <c r="G8" s="183"/>
      <c r="H8" s="183"/>
      <c r="I8" s="183"/>
      <c r="J8" s="257"/>
      <c r="K8" s="183"/>
      <c r="M8" s="184"/>
      <c r="N8" s="183"/>
      <c r="O8" s="185" t="s">
        <v>146</v>
      </c>
      <c r="P8" s="186" t="str">
        <f>+'DADOS DA OBRA'!$N$25</f>
        <v>22/11/2021</v>
      </c>
      <c r="Q8" s="183"/>
      <c r="S8" s="185" t="s">
        <v>71</v>
      </c>
      <c r="T8" s="187">
        <f>+'DADOS DA OBRA'!$J$25</f>
        <v>1.1186</v>
      </c>
      <c r="V8" s="188"/>
      <c r="Y8" s="189"/>
    </row>
    <row r="9" spans="2:25" s="180" customFormat="1" ht="15" customHeight="1" x14ac:dyDescent="0.25">
      <c r="B9" s="181" t="s">
        <v>69</v>
      </c>
      <c r="C9" s="182" t="str">
        <f>'DADOS DA OBRA'!$B$16</f>
        <v>ADEQUAÇÃO DE INSTALAÇÕES ELÉTRICAS E CABEAMENTO ESTRUTURADO - EDIFÍCIO SEDE</v>
      </c>
      <c r="M9" s="190"/>
      <c r="O9" s="185" t="s">
        <v>52</v>
      </c>
      <c r="P9" s="186">
        <f>'DADOS DA OBRA'!$N$28</f>
        <v>44733</v>
      </c>
      <c r="S9" s="185" t="s">
        <v>72</v>
      </c>
      <c r="T9" s="187">
        <f>+'DADOS DA OBRA'!$J$28</f>
        <v>0.70630000000000004</v>
      </c>
    </row>
    <row r="10" spans="2:25" s="180" customFormat="1" ht="15" customHeight="1" x14ac:dyDescent="0.25">
      <c r="B10" s="181" t="s">
        <v>53</v>
      </c>
      <c r="C10" s="183" t="str">
        <f>+""&amp;'DADOS DA OBRA'!$B$19&amp;", "&amp;'DADOS DA OBRA'!$J$22&amp;", "&amp;'DADOS DA OBRA'!$P$22</f>
        <v>PRAÇA EDGAR NOGUEIRA, TERESINA, PI</v>
      </c>
      <c r="D10" s="183"/>
      <c r="M10" s="190"/>
      <c r="O10" s="185" t="s">
        <v>147</v>
      </c>
      <c r="P10" s="186" t="str">
        <f>+'DADOS DA OBRA'!$B$28</f>
        <v>05 MESES</v>
      </c>
      <c r="S10" s="185" t="s">
        <v>140</v>
      </c>
      <c r="T10" s="187">
        <f>+'BDI OBRA - DESONERADO'!I31/100</f>
        <v>0.28059999999999996</v>
      </c>
    </row>
    <row r="11" spans="2:25" s="180" customFormat="1" ht="36" customHeight="1" x14ac:dyDescent="0.25">
      <c r="B11" s="181" t="s">
        <v>70</v>
      </c>
      <c r="C11" s="496" t="str">
        <f>+'DADOS DA OBRA'!$B$31</f>
        <v>SINAPI - 04/2022 - PIAUÍ   	SBC - 05/2022 - TSA - Teresina - PI  ORSE - 03/2022 - SERGIPE      ETOP - 03/2022 - Minas Gerais - Central SUDECAP - 02/2022 - MINAS GERAIS    CPOS - 02/2022 - São Paulo AGESUL - 01/2022 - MATO GROSSO DO SUL     GETOP CIVIL - 04/2022 - Goiás EMOP - 04/2022 - RIO DE JANEIRO</v>
      </c>
      <c r="D11" s="496"/>
      <c r="E11" s="496"/>
      <c r="F11" s="496"/>
      <c r="G11" s="496"/>
      <c r="H11" s="496"/>
      <c r="I11" s="496"/>
      <c r="J11" s="496"/>
      <c r="K11" s="496"/>
      <c r="L11" s="496"/>
      <c r="M11" s="496"/>
      <c r="N11" s="496"/>
      <c r="O11" s="496"/>
      <c r="P11" s="186"/>
      <c r="R11" s="185"/>
      <c r="S11" s="185" t="s">
        <v>141</v>
      </c>
      <c r="T11" s="187">
        <f>+'BDI DIFERENCIADO - DESONERADO'!I31/100</f>
        <v>0.20920000000000002</v>
      </c>
    </row>
    <row r="12" spans="2:25" s="191" customFormat="1" ht="6.95" customHeight="1" x14ac:dyDescent="0.25">
      <c r="C12" s="192"/>
      <c r="I12" s="193"/>
      <c r="J12" s="194"/>
      <c r="K12" s="194"/>
      <c r="L12" s="195"/>
      <c r="M12" s="196"/>
      <c r="O12" s="193"/>
      <c r="P12" s="194"/>
      <c r="Q12" s="194"/>
      <c r="R12" s="195"/>
      <c r="S12" s="197"/>
      <c r="T12" s="198"/>
      <c r="U12" s="199"/>
      <c r="V12" s="200"/>
    </row>
    <row r="13" spans="2:25" ht="13.5" thickBot="1" x14ac:dyDescent="0.3"/>
    <row r="14" spans="2:25" ht="12.75" customHeight="1" x14ac:dyDescent="0.25">
      <c r="B14" s="492" t="s">
        <v>21</v>
      </c>
      <c r="C14" s="481" t="s">
        <v>45</v>
      </c>
      <c r="D14" s="481" t="s">
        <v>44</v>
      </c>
      <c r="E14" s="481" t="s">
        <v>28</v>
      </c>
      <c r="F14" s="481" t="s">
        <v>22</v>
      </c>
      <c r="G14" s="494" t="s">
        <v>12</v>
      </c>
      <c r="H14" s="483" t="s">
        <v>142</v>
      </c>
      <c r="I14" s="484"/>
      <c r="J14" s="485"/>
      <c r="K14" s="487" t="s">
        <v>143</v>
      </c>
      <c r="L14" s="488"/>
      <c r="M14" s="489"/>
      <c r="N14" s="483" t="s">
        <v>20</v>
      </c>
      <c r="O14" s="484"/>
      <c r="P14" s="485"/>
      <c r="Q14" s="486" t="s">
        <v>13</v>
      </c>
      <c r="R14" s="481"/>
      <c r="S14" s="481" t="s">
        <v>10</v>
      </c>
      <c r="T14" s="490" t="s">
        <v>23</v>
      </c>
    </row>
    <row r="15" spans="2:25" ht="26.25" thickBot="1" x14ac:dyDescent="0.3">
      <c r="B15" s="493"/>
      <c r="C15" s="482"/>
      <c r="D15" s="482"/>
      <c r="E15" s="482"/>
      <c r="F15" s="482"/>
      <c r="G15" s="495"/>
      <c r="H15" s="157" t="s">
        <v>16</v>
      </c>
      <c r="I15" s="158" t="s">
        <v>15</v>
      </c>
      <c r="J15" s="159" t="s">
        <v>10</v>
      </c>
      <c r="K15" s="157" t="s">
        <v>16</v>
      </c>
      <c r="L15" s="158" t="s">
        <v>15</v>
      </c>
      <c r="M15" s="159" t="s">
        <v>10</v>
      </c>
      <c r="N15" s="157" t="s">
        <v>16</v>
      </c>
      <c r="O15" s="158" t="s">
        <v>15</v>
      </c>
      <c r="P15" s="159" t="s">
        <v>10</v>
      </c>
      <c r="Q15" s="157" t="s">
        <v>16</v>
      </c>
      <c r="R15" s="158" t="s">
        <v>15</v>
      </c>
      <c r="S15" s="482"/>
      <c r="T15" s="491"/>
    </row>
    <row r="16" spans="2:25" x14ac:dyDescent="0.25">
      <c r="B16" s="327" t="s">
        <v>212</v>
      </c>
      <c r="C16" s="328"/>
      <c r="D16" s="328"/>
      <c r="E16" s="329" t="s">
        <v>112</v>
      </c>
      <c r="F16" s="330"/>
      <c r="G16" s="331"/>
      <c r="H16" s="332"/>
      <c r="I16" s="330"/>
      <c r="J16" s="335"/>
      <c r="K16" s="406">
        <f t="shared" ref="K16:L16" si="0">SUM(K17:K19)</f>
        <v>127306.59999999999</v>
      </c>
      <c r="L16" s="406">
        <f t="shared" si="0"/>
        <v>4895.25</v>
      </c>
      <c r="M16" s="406">
        <f>SUM(M17:M19)</f>
        <v>132201.85</v>
      </c>
      <c r="N16" s="407"/>
      <c r="O16" s="408"/>
      <c r="P16" s="406"/>
      <c r="Q16" s="406">
        <f t="shared" ref="Q16:R16" si="1">SUM(Q17:Q19)</f>
        <v>163028.83195999998</v>
      </c>
      <c r="R16" s="406">
        <f t="shared" si="1"/>
        <v>6268.8571499999998</v>
      </c>
      <c r="S16" s="406">
        <f>SUM(S17:S19)</f>
        <v>169297.66999999998</v>
      </c>
      <c r="T16" s="334">
        <f>+S16/$S$212</f>
        <v>6.6853016849454799E-2</v>
      </c>
    </row>
    <row r="17" spans="2:20" x14ac:dyDescent="0.25">
      <c r="B17" s="162" t="s">
        <v>117</v>
      </c>
      <c r="C17" s="160" t="s">
        <v>739</v>
      </c>
      <c r="D17" s="160" t="s">
        <v>31</v>
      </c>
      <c r="E17" s="163" t="s">
        <v>740</v>
      </c>
      <c r="F17" s="160" t="s">
        <v>120</v>
      </c>
      <c r="G17" s="164">
        <v>5</v>
      </c>
      <c r="H17" s="165">
        <v>15750.06</v>
      </c>
      <c r="I17" s="166">
        <v>289.58999999999997</v>
      </c>
      <c r="J17" s="167">
        <f>SUM(H17:I17)</f>
        <v>16039.65</v>
      </c>
      <c r="K17" s="168">
        <f>+H17*G17</f>
        <v>78750.3</v>
      </c>
      <c r="L17" s="169">
        <f>+I17*G17</f>
        <v>1447.9499999999998</v>
      </c>
      <c r="M17" s="170">
        <f t="shared" ref="M17:M19" si="2">TRUNC(SUM(K17:L17),2)</f>
        <v>80198.25</v>
      </c>
      <c r="N17" s="165">
        <f t="shared" ref="N17:O19" si="3">+H17*(1+$T$10)</f>
        <v>20169.526835999997</v>
      </c>
      <c r="O17" s="166">
        <f t="shared" si="3"/>
        <v>370.84895399999994</v>
      </c>
      <c r="P17" s="167">
        <f>TRUNC(SUM(N17:O17),2)</f>
        <v>20540.37</v>
      </c>
      <c r="Q17" s="168">
        <f>+N17*G17</f>
        <v>100847.63417999999</v>
      </c>
      <c r="R17" s="169">
        <f>+O17*G17</f>
        <v>1854.2447699999998</v>
      </c>
      <c r="S17" s="169">
        <f>TRUNC(SUM(Q17:R17),2)</f>
        <v>102701.87</v>
      </c>
      <c r="T17" s="161">
        <f>+S17/$S$212</f>
        <v>4.0555371173038098E-2</v>
      </c>
    </row>
    <row r="18" spans="2:20" ht="25.5" x14ac:dyDescent="0.25">
      <c r="B18" s="162" t="s">
        <v>118</v>
      </c>
      <c r="C18" s="160" t="s">
        <v>119</v>
      </c>
      <c r="D18" s="160" t="s">
        <v>31</v>
      </c>
      <c r="E18" s="163" t="s">
        <v>113</v>
      </c>
      <c r="F18" s="160" t="s">
        <v>120</v>
      </c>
      <c r="G18" s="164">
        <v>5</v>
      </c>
      <c r="H18" s="165">
        <v>4613.07</v>
      </c>
      <c r="I18" s="166">
        <v>385.67</v>
      </c>
      <c r="J18" s="167">
        <f t="shared" ref="J18:J19" si="4">SUM(H18:I18)</f>
        <v>4998.74</v>
      </c>
      <c r="K18" s="168">
        <f>+H18*G18</f>
        <v>23065.35</v>
      </c>
      <c r="L18" s="169">
        <f>+I18*G18</f>
        <v>1928.3500000000001</v>
      </c>
      <c r="M18" s="170">
        <f t="shared" si="2"/>
        <v>24993.7</v>
      </c>
      <c r="N18" s="165">
        <f t="shared" si="3"/>
        <v>5907.4974419999999</v>
      </c>
      <c r="O18" s="166">
        <f t="shared" si="3"/>
        <v>493.889002</v>
      </c>
      <c r="P18" s="167">
        <f>TRUNC(SUM(N18:O18),2)</f>
        <v>6401.38</v>
      </c>
      <c r="Q18" s="168">
        <f>+N18*G18</f>
        <v>29537.487209999999</v>
      </c>
      <c r="R18" s="169">
        <f>+O18*G18</f>
        <v>2469.4450099999999</v>
      </c>
      <c r="S18" s="169">
        <f>TRUNC(SUM(Q18:R18),2)</f>
        <v>32006.93</v>
      </c>
      <c r="T18" s="161">
        <f>+S18/$S$212</f>
        <v>1.2639038863259728E-2</v>
      </c>
    </row>
    <row r="19" spans="2:20" x14ac:dyDescent="0.25">
      <c r="B19" s="162" t="s">
        <v>268</v>
      </c>
      <c r="C19" s="160" t="s">
        <v>1056</v>
      </c>
      <c r="D19" s="160" t="s">
        <v>31</v>
      </c>
      <c r="E19" s="163" t="s">
        <v>1057</v>
      </c>
      <c r="F19" s="160" t="s">
        <v>120</v>
      </c>
      <c r="G19" s="164">
        <v>5</v>
      </c>
      <c r="H19" s="165">
        <v>5098.1899999999996</v>
      </c>
      <c r="I19" s="166">
        <v>303.79000000000002</v>
      </c>
      <c r="J19" s="167">
        <f t="shared" si="4"/>
        <v>5401.98</v>
      </c>
      <c r="K19" s="168">
        <f>+H19*G19</f>
        <v>25490.949999999997</v>
      </c>
      <c r="L19" s="169">
        <f>+I19*G19</f>
        <v>1518.95</v>
      </c>
      <c r="M19" s="170">
        <f t="shared" si="2"/>
        <v>27009.9</v>
      </c>
      <c r="N19" s="165">
        <f t="shared" si="3"/>
        <v>6528.7421139999997</v>
      </c>
      <c r="O19" s="166">
        <f t="shared" si="3"/>
        <v>389.03347400000001</v>
      </c>
      <c r="P19" s="167">
        <f>TRUNC(SUM(N19:O19),2)</f>
        <v>6917.77</v>
      </c>
      <c r="Q19" s="168">
        <f>+N19*G19</f>
        <v>32643.710569999999</v>
      </c>
      <c r="R19" s="169">
        <f>+O19*G19</f>
        <v>1945.1673700000001</v>
      </c>
      <c r="S19" s="169">
        <f>TRUNC(SUM(Q19:R19),2)</f>
        <v>34588.870000000003</v>
      </c>
      <c r="T19" s="161">
        <f>+S19/$S$212</f>
        <v>1.3658606813156979E-2</v>
      </c>
    </row>
    <row r="20" spans="2:20" x14ac:dyDescent="0.25">
      <c r="B20" s="205"/>
      <c r="C20" s="160"/>
      <c r="D20" s="160"/>
      <c r="E20" s="209"/>
      <c r="F20" s="203"/>
      <c r="G20" s="204"/>
      <c r="H20" s="205"/>
      <c r="I20" s="203"/>
      <c r="J20" s="206"/>
      <c r="K20" s="207"/>
      <c r="L20" s="203"/>
      <c r="M20" s="208"/>
      <c r="N20" s="205">
        <f t="shared" ref="N20:O20" si="5">TRUNC(H20*(1+$T$10),2)</f>
        <v>0</v>
      </c>
      <c r="O20" s="203">
        <f t="shared" si="5"/>
        <v>0</v>
      </c>
      <c r="P20" s="206"/>
      <c r="Q20" s="207"/>
      <c r="R20" s="203"/>
      <c r="S20" s="203"/>
      <c r="T20" s="161"/>
    </row>
    <row r="21" spans="2:20" x14ac:dyDescent="0.25">
      <c r="B21" s="327" t="s">
        <v>213</v>
      </c>
      <c r="C21" s="328"/>
      <c r="D21" s="328"/>
      <c r="E21" s="329" t="s">
        <v>108</v>
      </c>
      <c r="F21" s="330"/>
      <c r="G21" s="331"/>
      <c r="H21" s="332"/>
      <c r="I21" s="330"/>
      <c r="J21" s="335"/>
      <c r="K21" s="406">
        <f>SUM(K22:K27)</f>
        <v>7063.14</v>
      </c>
      <c r="L21" s="406">
        <f t="shared" ref="L21:M21" si="6">SUM(L22:L27)</f>
        <v>14417.630000000001</v>
      </c>
      <c r="M21" s="406">
        <f t="shared" si="6"/>
        <v>21480.77</v>
      </c>
      <c r="N21" s="406"/>
      <c r="O21" s="406"/>
      <c r="P21" s="406"/>
      <c r="Q21" s="406">
        <f t="shared" ref="Q21:S21" si="7">SUM(Q22:Q27)</f>
        <v>9045.0570839999982</v>
      </c>
      <c r="R21" s="406">
        <f t="shared" si="7"/>
        <v>18463.216977999997</v>
      </c>
      <c r="S21" s="406">
        <f t="shared" si="7"/>
        <v>27508.260000000002</v>
      </c>
      <c r="T21" s="334">
        <f t="shared" ref="T21:T27" si="8">+S21/$S$212</f>
        <v>1.0862584046662802E-2</v>
      </c>
    </row>
    <row r="22" spans="2:20" ht="25.5" x14ac:dyDescent="0.25">
      <c r="B22" s="162" t="s">
        <v>121</v>
      </c>
      <c r="C22" s="160" t="s">
        <v>261</v>
      </c>
      <c r="D22" s="160" t="s">
        <v>125</v>
      </c>
      <c r="E22" s="163" t="s">
        <v>741</v>
      </c>
      <c r="F22" s="160" t="s">
        <v>120</v>
      </c>
      <c r="G22" s="164">
        <v>5</v>
      </c>
      <c r="H22" s="165">
        <v>0</v>
      </c>
      <c r="I22" s="166">
        <v>859.37</v>
      </c>
      <c r="J22" s="167">
        <f>SUM(H22:I22)</f>
        <v>859.37</v>
      </c>
      <c r="K22" s="168">
        <f t="shared" ref="K22:K27" si="9">+H22*G22</f>
        <v>0</v>
      </c>
      <c r="L22" s="169">
        <f t="shared" ref="L22:L27" si="10">+I22*G22</f>
        <v>4296.8500000000004</v>
      </c>
      <c r="M22" s="170">
        <f t="shared" ref="M22:M26" si="11">TRUNC(SUM(K22:L22),2)</f>
        <v>4296.8500000000004</v>
      </c>
      <c r="N22" s="165">
        <f t="shared" ref="N22:O37" si="12">+H22*(1+$T$10)</f>
        <v>0</v>
      </c>
      <c r="O22" s="166">
        <f t="shared" si="12"/>
        <v>1100.5092219999999</v>
      </c>
      <c r="P22" s="167">
        <f t="shared" ref="P22:P27" si="13">TRUNC(SUM(N22:O22),2)</f>
        <v>1100.5</v>
      </c>
      <c r="Q22" s="168">
        <f t="shared" ref="Q22:Q27" si="14">+N22*G22</f>
        <v>0</v>
      </c>
      <c r="R22" s="169">
        <f t="shared" ref="R22:R27" si="15">+O22*G22</f>
        <v>5502.5461099999993</v>
      </c>
      <c r="S22" s="169">
        <f t="shared" ref="S22:S27" si="16">TRUNC(SUM(Q22:R22),2)</f>
        <v>5502.54</v>
      </c>
      <c r="T22" s="161">
        <f t="shared" si="8"/>
        <v>2.1728674667217747E-3</v>
      </c>
    </row>
    <row r="23" spans="2:20" ht="38.25" x14ac:dyDescent="0.25">
      <c r="B23" s="162" t="s">
        <v>122</v>
      </c>
      <c r="C23" s="160" t="s">
        <v>262</v>
      </c>
      <c r="D23" s="160" t="s">
        <v>125</v>
      </c>
      <c r="E23" s="163" t="s">
        <v>742</v>
      </c>
      <c r="F23" s="160" t="s">
        <v>120</v>
      </c>
      <c r="G23" s="164">
        <v>5</v>
      </c>
      <c r="H23" s="165">
        <v>0</v>
      </c>
      <c r="I23" s="166">
        <v>1100</v>
      </c>
      <c r="J23" s="167">
        <f t="shared" ref="J23:J26" si="17">SUM(H23:I23)</f>
        <v>1100</v>
      </c>
      <c r="K23" s="168">
        <f t="shared" si="9"/>
        <v>0</v>
      </c>
      <c r="L23" s="169">
        <f t="shared" si="10"/>
        <v>5500</v>
      </c>
      <c r="M23" s="170">
        <f t="shared" si="11"/>
        <v>5500</v>
      </c>
      <c r="N23" s="165">
        <f t="shared" si="12"/>
        <v>0</v>
      </c>
      <c r="O23" s="166">
        <f t="shared" si="12"/>
        <v>1408.6599999999999</v>
      </c>
      <c r="P23" s="167">
        <f t="shared" si="13"/>
        <v>1408.66</v>
      </c>
      <c r="Q23" s="168">
        <f t="shared" si="14"/>
        <v>0</v>
      </c>
      <c r="R23" s="169">
        <f t="shared" si="15"/>
        <v>7043.2999999999993</v>
      </c>
      <c r="S23" s="169">
        <f t="shared" si="16"/>
        <v>7043.3</v>
      </c>
      <c r="T23" s="161">
        <f t="shared" si="8"/>
        <v>2.781289627764901E-3</v>
      </c>
    </row>
    <row r="24" spans="2:20" ht="25.5" x14ac:dyDescent="0.25">
      <c r="B24" s="162" t="s">
        <v>123</v>
      </c>
      <c r="C24" s="160" t="s">
        <v>124</v>
      </c>
      <c r="D24" s="160" t="s">
        <v>125</v>
      </c>
      <c r="E24" s="163" t="s">
        <v>126</v>
      </c>
      <c r="F24" s="160" t="s">
        <v>127</v>
      </c>
      <c r="G24" s="164">
        <v>120</v>
      </c>
      <c r="H24" s="165">
        <v>0</v>
      </c>
      <c r="I24" s="166">
        <v>10</v>
      </c>
      <c r="J24" s="167">
        <f t="shared" si="17"/>
        <v>10</v>
      </c>
      <c r="K24" s="168">
        <f t="shared" si="9"/>
        <v>0</v>
      </c>
      <c r="L24" s="169">
        <f t="shared" si="10"/>
        <v>1200</v>
      </c>
      <c r="M24" s="170">
        <f t="shared" si="11"/>
        <v>1200</v>
      </c>
      <c r="N24" s="165">
        <f t="shared" si="12"/>
        <v>0</v>
      </c>
      <c r="O24" s="166">
        <f t="shared" si="12"/>
        <v>12.805999999999999</v>
      </c>
      <c r="P24" s="167">
        <f t="shared" si="13"/>
        <v>12.8</v>
      </c>
      <c r="Q24" s="168">
        <f t="shared" si="14"/>
        <v>0</v>
      </c>
      <c r="R24" s="169">
        <f t="shared" si="15"/>
        <v>1536.7199999999998</v>
      </c>
      <c r="S24" s="169">
        <f t="shared" si="16"/>
        <v>1536.72</v>
      </c>
      <c r="T24" s="161">
        <f t="shared" si="8"/>
        <v>6.0682682787597836E-4</v>
      </c>
    </row>
    <row r="25" spans="2:20" ht="25.5" x14ac:dyDescent="0.25">
      <c r="B25" s="162" t="s">
        <v>250</v>
      </c>
      <c r="C25" s="160" t="s">
        <v>128</v>
      </c>
      <c r="D25" s="160" t="s">
        <v>31</v>
      </c>
      <c r="E25" s="163" t="s">
        <v>109</v>
      </c>
      <c r="F25" s="160" t="s">
        <v>8</v>
      </c>
      <c r="G25" s="164">
        <v>1800</v>
      </c>
      <c r="H25" s="165">
        <v>3.89</v>
      </c>
      <c r="I25" s="166">
        <v>1.53</v>
      </c>
      <c r="J25" s="167">
        <f t="shared" si="17"/>
        <v>5.42</v>
      </c>
      <c r="K25" s="168">
        <f t="shared" si="9"/>
        <v>7002</v>
      </c>
      <c r="L25" s="169">
        <f t="shared" si="10"/>
        <v>2754</v>
      </c>
      <c r="M25" s="170">
        <f t="shared" si="11"/>
        <v>9756</v>
      </c>
      <c r="N25" s="165">
        <f t="shared" si="12"/>
        <v>4.9815339999999999</v>
      </c>
      <c r="O25" s="166">
        <f t="shared" si="12"/>
        <v>1.9593179999999999</v>
      </c>
      <c r="P25" s="167">
        <f t="shared" si="13"/>
        <v>6.94</v>
      </c>
      <c r="Q25" s="168">
        <f t="shared" si="14"/>
        <v>8966.761199999999</v>
      </c>
      <c r="R25" s="169">
        <f t="shared" si="15"/>
        <v>3526.7723999999998</v>
      </c>
      <c r="S25" s="169">
        <f t="shared" si="16"/>
        <v>12493.53</v>
      </c>
      <c r="T25" s="161">
        <f t="shared" si="8"/>
        <v>4.9335006890476943E-3</v>
      </c>
    </row>
    <row r="26" spans="2:20" ht="25.5" x14ac:dyDescent="0.25">
      <c r="B26" s="162" t="s">
        <v>251</v>
      </c>
      <c r="C26" s="160" t="s">
        <v>743</v>
      </c>
      <c r="D26" s="160" t="s">
        <v>125</v>
      </c>
      <c r="E26" s="163" t="s">
        <v>738</v>
      </c>
      <c r="F26" s="160" t="s">
        <v>2</v>
      </c>
      <c r="G26" s="164">
        <v>1.5</v>
      </c>
      <c r="H26" s="165">
        <v>40.76</v>
      </c>
      <c r="I26" s="166">
        <v>288.89999999999998</v>
      </c>
      <c r="J26" s="167">
        <f t="shared" si="17"/>
        <v>329.65999999999997</v>
      </c>
      <c r="K26" s="168">
        <f t="shared" si="9"/>
        <v>61.14</v>
      </c>
      <c r="L26" s="169">
        <f t="shared" si="10"/>
        <v>433.34999999999997</v>
      </c>
      <c r="M26" s="170">
        <f t="shared" si="11"/>
        <v>494.49</v>
      </c>
      <c r="N26" s="165">
        <f t="shared" si="12"/>
        <v>52.197255999999996</v>
      </c>
      <c r="O26" s="166">
        <f t="shared" si="12"/>
        <v>369.96533999999997</v>
      </c>
      <c r="P26" s="167">
        <f t="shared" si="13"/>
        <v>422.16</v>
      </c>
      <c r="Q26" s="168">
        <f t="shared" si="14"/>
        <v>78.295884000000001</v>
      </c>
      <c r="R26" s="169">
        <f t="shared" si="15"/>
        <v>554.94800999999995</v>
      </c>
      <c r="S26" s="169">
        <f t="shared" si="16"/>
        <v>633.24</v>
      </c>
      <c r="T26" s="161">
        <f t="shared" si="8"/>
        <v>2.5005662741695592E-4</v>
      </c>
    </row>
    <row r="27" spans="2:20" x14ac:dyDescent="0.25">
      <c r="B27" s="162" t="s">
        <v>1296</v>
      </c>
      <c r="C27" s="160" t="s">
        <v>1297</v>
      </c>
      <c r="D27" s="160" t="s">
        <v>125</v>
      </c>
      <c r="E27" s="163" t="s">
        <v>1298</v>
      </c>
      <c r="F27" s="160" t="s">
        <v>22</v>
      </c>
      <c r="G27" s="164">
        <v>1</v>
      </c>
      <c r="H27" s="165">
        <v>0</v>
      </c>
      <c r="I27" s="166">
        <v>233.43</v>
      </c>
      <c r="J27" s="167">
        <f t="shared" ref="J27" si="18">SUM(H27:I27)</f>
        <v>233.43</v>
      </c>
      <c r="K27" s="168">
        <f t="shared" si="9"/>
        <v>0</v>
      </c>
      <c r="L27" s="169">
        <f t="shared" si="10"/>
        <v>233.43</v>
      </c>
      <c r="M27" s="170">
        <f t="shared" ref="M27" si="19">TRUNC(SUM(K27:L27),2)</f>
        <v>233.43</v>
      </c>
      <c r="N27" s="165">
        <f t="shared" si="12"/>
        <v>0</v>
      </c>
      <c r="O27" s="166">
        <f t="shared" si="12"/>
        <v>298.93045799999999</v>
      </c>
      <c r="P27" s="167">
        <f t="shared" si="13"/>
        <v>298.93</v>
      </c>
      <c r="Q27" s="168">
        <f t="shared" si="14"/>
        <v>0</v>
      </c>
      <c r="R27" s="169">
        <f t="shared" si="15"/>
        <v>298.93045799999999</v>
      </c>
      <c r="S27" s="169">
        <f t="shared" si="16"/>
        <v>298.93</v>
      </c>
      <c r="T27" s="161">
        <f t="shared" si="8"/>
        <v>1.1804280783549783E-4</v>
      </c>
    </row>
    <row r="28" spans="2:20" x14ac:dyDescent="0.25">
      <c r="B28" s="205"/>
      <c r="C28" s="160"/>
      <c r="D28" s="160"/>
      <c r="E28" s="209"/>
      <c r="F28" s="203"/>
      <c r="G28" s="204"/>
      <c r="H28" s="205"/>
      <c r="I28" s="203"/>
      <c r="J28" s="206"/>
      <c r="K28" s="207"/>
      <c r="L28" s="203"/>
      <c r="M28" s="208"/>
      <c r="N28" s="205">
        <f t="shared" si="12"/>
        <v>0</v>
      </c>
      <c r="O28" s="203">
        <f t="shared" si="12"/>
        <v>0</v>
      </c>
      <c r="P28" s="206"/>
      <c r="Q28" s="207"/>
      <c r="R28" s="203"/>
      <c r="S28" s="203"/>
      <c r="T28" s="161"/>
    </row>
    <row r="29" spans="2:20" x14ac:dyDescent="0.25">
      <c r="B29" s="327">
        <v>3</v>
      </c>
      <c r="C29" s="328"/>
      <c r="D29" s="328"/>
      <c r="E29" s="329" t="s">
        <v>107</v>
      </c>
      <c r="F29" s="330"/>
      <c r="G29" s="331"/>
      <c r="H29" s="332"/>
      <c r="I29" s="330"/>
      <c r="J29" s="333"/>
      <c r="K29" s="391">
        <f>SUM(K30:K42)</f>
        <v>47227.869500000001</v>
      </c>
      <c r="L29" s="391">
        <f t="shared" ref="L29:M29" si="20">SUM(L30:L42)</f>
        <v>26628.441350000001</v>
      </c>
      <c r="M29" s="391">
        <f t="shared" si="20"/>
        <v>73856.28</v>
      </c>
      <c r="N29" s="403">
        <f t="shared" si="12"/>
        <v>0</v>
      </c>
      <c r="O29" s="404">
        <f t="shared" si="12"/>
        <v>0</v>
      </c>
      <c r="P29" s="405"/>
      <c r="Q29" s="391">
        <f>SUM(Q30:Q42)</f>
        <v>60480.009681699994</v>
      </c>
      <c r="R29" s="391">
        <f t="shared" ref="R29:S29" si="21">SUM(R30:R42)</f>
        <v>34100.381992810006</v>
      </c>
      <c r="S29" s="391">
        <f t="shared" si="21"/>
        <v>94580.33</v>
      </c>
      <c r="T29" s="334">
        <f t="shared" ref="T29:T42" si="22">+S29/$S$212</f>
        <v>3.7348301338801626E-2</v>
      </c>
    </row>
    <row r="30" spans="2:20" x14ac:dyDescent="0.25">
      <c r="B30" s="162" t="s">
        <v>129</v>
      </c>
      <c r="C30" s="160" t="s">
        <v>744</v>
      </c>
      <c r="D30" s="171" t="s">
        <v>214</v>
      </c>
      <c r="E30" s="163" t="s">
        <v>731</v>
      </c>
      <c r="F30" s="160" t="s">
        <v>2</v>
      </c>
      <c r="G30" s="164">
        <v>2480.1999999999998</v>
      </c>
      <c r="H30" s="165">
        <v>8.1999999999999993</v>
      </c>
      <c r="I30" s="166">
        <v>3.45</v>
      </c>
      <c r="J30" s="167">
        <f t="shared" ref="J30:J31" si="23">TRUNC(SUM(H30:I30),2)</f>
        <v>11.65</v>
      </c>
      <c r="K30" s="168">
        <f t="shared" ref="K30:K42" si="24">+H30*G30</f>
        <v>20337.639999999996</v>
      </c>
      <c r="L30" s="169">
        <f t="shared" ref="L30:L42" si="25">+I30*G30</f>
        <v>8556.69</v>
      </c>
      <c r="M30" s="170">
        <f t="shared" ref="M30:M42" si="26">TRUNC(SUM(K30:L30),2)</f>
        <v>28894.33</v>
      </c>
      <c r="N30" s="165">
        <f t="shared" si="12"/>
        <v>10.500919999999999</v>
      </c>
      <c r="O30" s="166">
        <f t="shared" si="12"/>
        <v>4.4180700000000002</v>
      </c>
      <c r="P30" s="167">
        <f t="shared" ref="P30:P31" si="27">TRUNC(SUM(N30:O30),2)</f>
        <v>14.91</v>
      </c>
      <c r="Q30" s="168">
        <f t="shared" ref="Q30:Q42" si="28">+N30*G30</f>
        <v>26044.381783999994</v>
      </c>
      <c r="R30" s="169">
        <f t="shared" ref="R30:R42" si="29">+O30*G30</f>
        <v>10957.697214</v>
      </c>
      <c r="S30" s="169">
        <f t="shared" ref="S30:S41" si="30">TRUNC(SUM(Q30:R30),2)</f>
        <v>37002.07</v>
      </c>
      <c r="T30" s="161">
        <f t="shared" si="22"/>
        <v>1.4611541961414507E-2</v>
      </c>
    </row>
    <row r="31" spans="2:20" x14ac:dyDescent="0.25">
      <c r="B31" s="162" t="s">
        <v>130</v>
      </c>
      <c r="C31" s="160" t="s">
        <v>409</v>
      </c>
      <c r="D31" s="171" t="s">
        <v>214</v>
      </c>
      <c r="E31" s="163" t="s">
        <v>410</v>
      </c>
      <c r="F31" s="160" t="s">
        <v>22</v>
      </c>
      <c r="G31" s="164">
        <v>25</v>
      </c>
      <c r="H31" s="165">
        <v>0</v>
      </c>
      <c r="I31" s="166">
        <v>350</v>
      </c>
      <c r="J31" s="167">
        <f t="shared" si="23"/>
        <v>350</v>
      </c>
      <c r="K31" s="168">
        <f t="shared" si="24"/>
        <v>0</v>
      </c>
      <c r="L31" s="169">
        <f t="shared" si="25"/>
        <v>8750</v>
      </c>
      <c r="M31" s="170">
        <f t="shared" si="26"/>
        <v>8750</v>
      </c>
      <c r="N31" s="165">
        <f t="shared" si="12"/>
        <v>0</v>
      </c>
      <c r="O31" s="166">
        <f t="shared" si="12"/>
        <v>448.21</v>
      </c>
      <c r="P31" s="167">
        <f t="shared" si="27"/>
        <v>448.21</v>
      </c>
      <c r="Q31" s="168">
        <f t="shared" si="28"/>
        <v>0</v>
      </c>
      <c r="R31" s="169">
        <f t="shared" si="29"/>
        <v>11205.25</v>
      </c>
      <c r="S31" s="169">
        <f t="shared" si="30"/>
        <v>11205.25</v>
      </c>
      <c r="T31" s="161">
        <f t="shared" si="22"/>
        <v>4.4247789532623422E-3</v>
      </c>
    </row>
    <row r="32" spans="2:20" ht="25.5" x14ac:dyDescent="0.25">
      <c r="B32" s="162" t="s">
        <v>1350</v>
      </c>
      <c r="C32" s="160" t="s">
        <v>1340</v>
      </c>
      <c r="D32" s="171" t="s">
        <v>31</v>
      </c>
      <c r="E32" s="163" t="s">
        <v>1341</v>
      </c>
      <c r="F32" s="160" t="s">
        <v>22</v>
      </c>
      <c r="G32" s="164">
        <v>244</v>
      </c>
      <c r="H32" s="165">
        <v>0.72</v>
      </c>
      <c r="I32" s="166">
        <v>0.31</v>
      </c>
      <c r="J32" s="167">
        <f t="shared" ref="J32:J36" si="31">TRUNC(SUM(H32:I32),2)</f>
        <v>1.03</v>
      </c>
      <c r="K32" s="168">
        <f t="shared" si="24"/>
        <v>175.68</v>
      </c>
      <c r="L32" s="169">
        <f t="shared" si="25"/>
        <v>75.64</v>
      </c>
      <c r="M32" s="170">
        <f t="shared" si="26"/>
        <v>251.32</v>
      </c>
      <c r="N32" s="165">
        <f t="shared" si="12"/>
        <v>0.92203199999999996</v>
      </c>
      <c r="O32" s="166">
        <f t="shared" si="12"/>
        <v>0.39698600000000001</v>
      </c>
      <c r="P32" s="167">
        <f t="shared" ref="P32:P42" si="32">TRUNC(SUM(N32:O32),2)</f>
        <v>1.31</v>
      </c>
      <c r="Q32" s="168">
        <f t="shared" si="28"/>
        <v>224.975808</v>
      </c>
      <c r="R32" s="169">
        <f t="shared" si="29"/>
        <v>96.864584000000008</v>
      </c>
      <c r="S32" s="169">
        <f t="shared" si="30"/>
        <v>321.83999999999997</v>
      </c>
      <c r="T32" s="161">
        <f t="shared" si="22"/>
        <v>1.270896105234557E-4</v>
      </c>
    </row>
    <row r="33" spans="2:20" x14ac:dyDescent="0.25">
      <c r="B33" s="162" t="s">
        <v>1351</v>
      </c>
      <c r="C33" s="160" t="s">
        <v>1342</v>
      </c>
      <c r="D33" s="171" t="s">
        <v>267</v>
      </c>
      <c r="E33" s="163" t="s">
        <v>1348</v>
      </c>
      <c r="F33" s="160" t="s">
        <v>22</v>
      </c>
      <c r="G33" s="164">
        <v>813</v>
      </c>
      <c r="H33" s="165">
        <v>3.34</v>
      </c>
      <c r="I33" s="166">
        <v>0</v>
      </c>
      <c r="J33" s="167">
        <f t="shared" si="31"/>
        <v>3.34</v>
      </c>
      <c r="K33" s="168">
        <f t="shared" si="24"/>
        <v>2715.42</v>
      </c>
      <c r="L33" s="169">
        <f t="shared" si="25"/>
        <v>0</v>
      </c>
      <c r="M33" s="170">
        <f t="shared" si="26"/>
        <v>2715.42</v>
      </c>
      <c r="N33" s="165">
        <f t="shared" si="12"/>
        <v>4.2772039999999993</v>
      </c>
      <c r="O33" s="166">
        <f t="shared" si="12"/>
        <v>0</v>
      </c>
      <c r="P33" s="167">
        <f t="shared" si="32"/>
        <v>4.2699999999999996</v>
      </c>
      <c r="Q33" s="168">
        <f t="shared" si="28"/>
        <v>3477.3668519999997</v>
      </c>
      <c r="R33" s="169">
        <f t="shared" si="29"/>
        <v>0</v>
      </c>
      <c r="S33" s="169">
        <f t="shared" si="30"/>
        <v>3477.36</v>
      </c>
      <c r="T33" s="161">
        <f t="shared" si="22"/>
        <v>1.3731553817109246E-3</v>
      </c>
    </row>
    <row r="34" spans="2:20" ht="25.5" x14ac:dyDescent="0.25">
      <c r="B34" s="162" t="s">
        <v>1352</v>
      </c>
      <c r="C34" s="160" t="s">
        <v>1344</v>
      </c>
      <c r="D34" s="171" t="s">
        <v>31</v>
      </c>
      <c r="E34" s="163" t="s">
        <v>1345</v>
      </c>
      <c r="F34" s="160" t="s">
        <v>22</v>
      </c>
      <c r="G34" s="164">
        <f>G77+G78+G79+G80+G81+G82+G83+G84+G85+G86</f>
        <v>1112</v>
      </c>
      <c r="H34" s="165">
        <v>0.38</v>
      </c>
      <c r="I34" s="166">
        <v>0.15</v>
      </c>
      <c r="J34" s="167">
        <f t="shared" si="31"/>
        <v>0.53</v>
      </c>
      <c r="K34" s="168">
        <f t="shared" si="24"/>
        <v>422.56</v>
      </c>
      <c r="L34" s="169">
        <f t="shared" si="25"/>
        <v>166.79999999999998</v>
      </c>
      <c r="M34" s="170">
        <f t="shared" si="26"/>
        <v>589.36</v>
      </c>
      <c r="N34" s="165">
        <f t="shared" si="12"/>
        <v>0.486628</v>
      </c>
      <c r="O34" s="166">
        <f t="shared" si="12"/>
        <v>0.19208999999999998</v>
      </c>
      <c r="P34" s="167">
        <f t="shared" si="32"/>
        <v>0.67</v>
      </c>
      <c r="Q34" s="168">
        <f t="shared" si="28"/>
        <v>541.13033600000006</v>
      </c>
      <c r="R34" s="169">
        <f t="shared" si="29"/>
        <v>213.60407999999998</v>
      </c>
      <c r="S34" s="169">
        <f t="shared" si="30"/>
        <v>754.73</v>
      </c>
      <c r="T34" s="161">
        <f t="shared" si="22"/>
        <v>2.9803113892110285E-4</v>
      </c>
    </row>
    <row r="35" spans="2:20" ht="38.25" x14ac:dyDescent="0.25">
      <c r="B35" s="162" t="s">
        <v>1353</v>
      </c>
      <c r="C35" s="160" t="s">
        <v>1412</v>
      </c>
      <c r="D35" s="171" t="s">
        <v>125</v>
      </c>
      <c r="E35" s="163" t="s">
        <v>1413</v>
      </c>
      <c r="F35" s="160" t="s">
        <v>35</v>
      </c>
      <c r="G35" s="164">
        <f>SUM(G62:G67)+G72</f>
        <v>43291.100000000006</v>
      </c>
      <c r="H35" s="165">
        <v>0.27</v>
      </c>
      <c r="I35" s="166">
        <v>0.1</v>
      </c>
      <c r="J35" s="167">
        <f t="shared" si="31"/>
        <v>0.37</v>
      </c>
      <c r="K35" s="168">
        <f t="shared" si="24"/>
        <v>11688.597000000002</v>
      </c>
      <c r="L35" s="169">
        <f t="shared" si="25"/>
        <v>4329.1100000000006</v>
      </c>
      <c r="M35" s="170">
        <f t="shared" si="26"/>
        <v>16017.7</v>
      </c>
      <c r="N35" s="165">
        <f t="shared" si="12"/>
        <v>0.34576200000000001</v>
      </c>
      <c r="O35" s="166">
        <f t="shared" si="12"/>
        <v>0.12806000000000001</v>
      </c>
      <c r="P35" s="167">
        <f t="shared" si="32"/>
        <v>0.47</v>
      </c>
      <c r="Q35" s="168">
        <f t="shared" si="28"/>
        <v>14968.417318200003</v>
      </c>
      <c r="R35" s="169">
        <f t="shared" si="29"/>
        <v>5543.8582660000011</v>
      </c>
      <c r="S35" s="169">
        <f t="shared" si="30"/>
        <v>20512.27</v>
      </c>
      <c r="T35" s="161">
        <f t="shared" si="22"/>
        <v>8.0999764021003149E-3</v>
      </c>
    </row>
    <row r="36" spans="2:20" x14ac:dyDescent="0.25">
      <c r="B36" s="162" t="s">
        <v>1354</v>
      </c>
      <c r="C36" s="160" t="s">
        <v>1346</v>
      </c>
      <c r="D36" s="171" t="s">
        <v>177</v>
      </c>
      <c r="E36" s="163" t="s">
        <v>1349</v>
      </c>
      <c r="F36" s="160" t="s">
        <v>227</v>
      </c>
      <c r="G36" s="164">
        <f>G123+G125+G126+G127</f>
        <v>24</v>
      </c>
      <c r="H36" s="165">
        <v>28.06</v>
      </c>
      <c r="I36" s="166">
        <v>7.15</v>
      </c>
      <c r="J36" s="167">
        <f t="shared" si="31"/>
        <v>35.21</v>
      </c>
      <c r="K36" s="168">
        <f t="shared" si="24"/>
        <v>673.43999999999994</v>
      </c>
      <c r="L36" s="169">
        <f t="shared" si="25"/>
        <v>171.60000000000002</v>
      </c>
      <c r="M36" s="170">
        <f t="shared" si="26"/>
        <v>845.04</v>
      </c>
      <c r="N36" s="165">
        <f t="shared" si="12"/>
        <v>35.933636</v>
      </c>
      <c r="O36" s="166">
        <f t="shared" si="12"/>
        <v>9.1562900000000003</v>
      </c>
      <c r="P36" s="167">
        <f t="shared" si="32"/>
        <v>45.08</v>
      </c>
      <c r="Q36" s="168">
        <f t="shared" si="28"/>
        <v>862.40726399999994</v>
      </c>
      <c r="R36" s="169">
        <f t="shared" si="29"/>
        <v>219.75096000000002</v>
      </c>
      <c r="S36" s="169">
        <f t="shared" si="30"/>
        <v>1082.1500000000001</v>
      </c>
      <c r="T36" s="161">
        <f t="shared" si="22"/>
        <v>4.2732420466056928E-4</v>
      </c>
    </row>
    <row r="37" spans="2:20" ht="25.5" x14ac:dyDescent="0.25">
      <c r="B37" s="162" t="s">
        <v>1355</v>
      </c>
      <c r="C37" s="160">
        <v>90447</v>
      </c>
      <c r="D37" s="171" t="s">
        <v>31</v>
      </c>
      <c r="E37" s="163" t="s">
        <v>1399</v>
      </c>
      <c r="F37" s="160" t="s">
        <v>35</v>
      </c>
      <c r="G37" s="164">
        <f>312.3+117</f>
        <v>429.3</v>
      </c>
      <c r="H37" s="165">
        <v>4.07</v>
      </c>
      <c r="I37" s="166">
        <v>1.42</v>
      </c>
      <c r="J37" s="167">
        <f t="shared" ref="J37:J42" si="33">TRUNC(SUM(H37:I37),2)</f>
        <v>5.49</v>
      </c>
      <c r="K37" s="168">
        <f t="shared" si="24"/>
        <v>1747.2510000000002</v>
      </c>
      <c r="L37" s="169">
        <f t="shared" si="25"/>
        <v>609.60599999999999</v>
      </c>
      <c r="M37" s="170">
        <f t="shared" si="26"/>
        <v>2356.85</v>
      </c>
      <c r="N37" s="165">
        <f t="shared" si="12"/>
        <v>5.2120420000000003</v>
      </c>
      <c r="O37" s="166">
        <f t="shared" si="12"/>
        <v>1.818452</v>
      </c>
      <c r="P37" s="167">
        <f t="shared" si="32"/>
        <v>7.03</v>
      </c>
      <c r="Q37" s="168">
        <f t="shared" si="28"/>
        <v>2237.5296306</v>
      </c>
      <c r="R37" s="169">
        <f t="shared" si="29"/>
        <v>780.66144359999998</v>
      </c>
      <c r="S37" s="169">
        <f t="shared" si="30"/>
        <v>3018.19</v>
      </c>
      <c r="T37" s="161">
        <f t="shared" si="22"/>
        <v>1.1918362900378723E-3</v>
      </c>
    </row>
    <row r="38" spans="2:20" ht="25.5" x14ac:dyDescent="0.25">
      <c r="B38" s="162" t="s">
        <v>1385</v>
      </c>
      <c r="C38" s="160">
        <v>97641</v>
      </c>
      <c r="D38" s="171" t="s">
        <v>31</v>
      </c>
      <c r="E38" s="163" t="s">
        <v>1422</v>
      </c>
      <c r="F38" s="160" t="s">
        <v>2</v>
      </c>
      <c r="G38" s="164">
        <v>180</v>
      </c>
      <c r="H38" s="165">
        <v>2.79</v>
      </c>
      <c r="I38" s="166">
        <v>1.19</v>
      </c>
      <c r="J38" s="167">
        <f t="shared" si="33"/>
        <v>3.98</v>
      </c>
      <c r="K38" s="168">
        <f t="shared" si="24"/>
        <v>502.2</v>
      </c>
      <c r="L38" s="169">
        <f t="shared" si="25"/>
        <v>214.2</v>
      </c>
      <c r="M38" s="170">
        <f t="shared" si="26"/>
        <v>716.4</v>
      </c>
      <c r="N38" s="165">
        <f t="shared" ref="N38:O42" si="34">+H38*(1+$T$10)</f>
        <v>3.5728740000000001</v>
      </c>
      <c r="O38" s="166">
        <f t="shared" si="34"/>
        <v>1.523914</v>
      </c>
      <c r="P38" s="167">
        <f t="shared" si="32"/>
        <v>5.09</v>
      </c>
      <c r="Q38" s="168">
        <f t="shared" si="28"/>
        <v>643.11732000000006</v>
      </c>
      <c r="R38" s="169">
        <f t="shared" si="29"/>
        <v>274.30452000000002</v>
      </c>
      <c r="S38" s="169">
        <f t="shared" si="30"/>
        <v>917.42</v>
      </c>
      <c r="T38" s="161">
        <f t="shared" si="22"/>
        <v>3.6227488965457602E-4</v>
      </c>
    </row>
    <row r="39" spans="2:20" ht="25.5" x14ac:dyDescent="0.25">
      <c r="B39" s="162" t="s">
        <v>1423</v>
      </c>
      <c r="C39" s="160" t="s">
        <v>1502</v>
      </c>
      <c r="D39" s="171" t="s">
        <v>31</v>
      </c>
      <c r="E39" s="163" t="s">
        <v>1503</v>
      </c>
      <c r="F39" s="160" t="s">
        <v>8</v>
      </c>
      <c r="G39" s="164">
        <v>23.625</v>
      </c>
      <c r="H39" s="165">
        <v>46.95</v>
      </c>
      <c r="I39" s="166">
        <v>22</v>
      </c>
      <c r="J39" s="167">
        <f t="shared" si="33"/>
        <v>68.95</v>
      </c>
      <c r="K39" s="168">
        <f t="shared" si="24"/>
        <v>1109.1937500000001</v>
      </c>
      <c r="L39" s="169">
        <f t="shared" si="25"/>
        <v>519.75</v>
      </c>
      <c r="M39" s="170">
        <f t="shared" si="26"/>
        <v>1628.94</v>
      </c>
      <c r="N39" s="165">
        <f t="shared" si="34"/>
        <v>60.124169999999999</v>
      </c>
      <c r="O39" s="166">
        <f t="shared" si="34"/>
        <v>28.173199999999998</v>
      </c>
      <c r="P39" s="167">
        <f t="shared" si="32"/>
        <v>88.29</v>
      </c>
      <c r="Q39" s="168">
        <f t="shared" si="28"/>
        <v>1420.4335162499999</v>
      </c>
      <c r="R39" s="169">
        <f t="shared" si="29"/>
        <v>665.59184999999991</v>
      </c>
      <c r="S39" s="169">
        <f t="shared" si="30"/>
        <v>2086.02</v>
      </c>
      <c r="T39" s="161">
        <f t="shared" si="22"/>
        <v>8.2373685478541849E-4</v>
      </c>
    </row>
    <row r="40" spans="2:20" x14ac:dyDescent="0.25">
      <c r="B40" s="162" t="s">
        <v>1511</v>
      </c>
      <c r="C40" s="160" t="s">
        <v>1504</v>
      </c>
      <c r="D40" s="171" t="s">
        <v>31</v>
      </c>
      <c r="E40" s="163" t="s">
        <v>1505</v>
      </c>
      <c r="F40" s="160" t="s">
        <v>8</v>
      </c>
      <c r="G40" s="164">
        <v>23.625</v>
      </c>
      <c r="H40" s="165">
        <v>28.47</v>
      </c>
      <c r="I40" s="166">
        <v>13.33</v>
      </c>
      <c r="J40" s="167">
        <f t="shared" si="33"/>
        <v>41.8</v>
      </c>
      <c r="K40" s="168">
        <f t="shared" si="24"/>
        <v>672.60374999999999</v>
      </c>
      <c r="L40" s="169">
        <f t="shared" si="25"/>
        <v>314.92124999999999</v>
      </c>
      <c r="M40" s="170">
        <f t="shared" si="26"/>
        <v>987.52</v>
      </c>
      <c r="N40" s="165">
        <f t="shared" si="34"/>
        <v>36.458681999999996</v>
      </c>
      <c r="O40" s="166">
        <f t="shared" si="34"/>
        <v>17.070398000000001</v>
      </c>
      <c r="P40" s="167">
        <f t="shared" si="32"/>
        <v>53.52</v>
      </c>
      <c r="Q40" s="168">
        <f t="shared" si="28"/>
        <v>861.33636224999987</v>
      </c>
      <c r="R40" s="169">
        <f t="shared" si="29"/>
        <v>403.28815274999999</v>
      </c>
      <c r="S40" s="169">
        <f t="shared" si="30"/>
        <v>1264.6199999999999</v>
      </c>
      <c r="T40" s="161">
        <f t="shared" si="22"/>
        <v>4.9937876976190827E-4</v>
      </c>
    </row>
    <row r="41" spans="2:20" x14ac:dyDescent="0.25">
      <c r="B41" s="162" t="s">
        <v>1512</v>
      </c>
      <c r="C41" s="160" t="s">
        <v>1506</v>
      </c>
      <c r="D41" s="171" t="s">
        <v>177</v>
      </c>
      <c r="E41" s="163" t="s">
        <v>1507</v>
      </c>
      <c r="F41" s="160" t="s">
        <v>2</v>
      </c>
      <c r="G41" s="164">
        <v>170.22</v>
      </c>
      <c r="H41" s="165">
        <v>13.3</v>
      </c>
      <c r="I41" s="166">
        <v>3.98</v>
      </c>
      <c r="J41" s="167">
        <f t="shared" si="33"/>
        <v>17.28</v>
      </c>
      <c r="K41" s="168">
        <f t="shared" si="24"/>
        <v>2263.9259999999999</v>
      </c>
      <c r="L41" s="169">
        <f t="shared" si="25"/>
        <v>677.47559999999999</v>
      </c>
      <c r="M41" s="170">
        <f t="shared" si="26"/>
        <v>2941.4</v>
      </c>
      <c r="N41" s="165">
        <f t="shared" si="34"/>
        <v>17.031980000000001</v>
      </c>
      <c r="O41" s="166">
        <f t="shared" si="34"/>
        <v>5.0967880000000001</v>
      </c>
      <c r="P41" s="167">
        <f t="shared" si="32"/>
        <v>22.12</v>
      </c>
      <c r="Q41" s="168">
        <f t="shared" si="28"/>
        <v>2899.1836355999999</v>
      </c>
      <c r="R41" s="169">
        <f t="shared" si="29"/>
        <v>867.57525336000003</v>
      </c>
      <c r="S41" s="169">
        <f t="shared" si="30"/>
        <v>3766.75</v>
      </c>
      <c r="T41" s="161">
        <f t="shared" si="22"/>
        <v>1.4874309919190494E-3</v>
      </c>
    </row>
    <row r="42" spans="2:20" x14ac:dyDescent="0.25">
      <c r="B42" s="162" t="s">
        <v>1515</v>
      </c>
      <c r="C42" s="160" t="s">
        <v>1513</v>
      </c>
      <c r="D42" s="171" t="s">
        <v>214</v>
      </c>
      <c r="E42" s="163" t="s">
        <v>1514</v>
      </c>
      <c r="F42" s="160" t="s">
        <v>2</v>
      </c>
      <c r="G42" s="164">
        <v>425.55</v>
      </c>
      <c r="H42" s="165">
        <v>11.56</v>
      </c>
      <c r="I42" s="166">
        <v>5.27</v>
      </c>
      <c r="J42" s="167">
        <f t="shared" si="33"/>
        <v>16.829999999999998</v>
      </c>
      <c r="K42" s="168">
        <f t="shared" si="24"/>
        <v>4919.3580000000002</v>
      </c>
      <c r="L42" s="169">
        <f t="shared" si="25"/>
        <v>2242.6484999999998</v>
      </c>
      <c r="M42" s="170">
        <f t="shared" si="26"/>
        <v>7162</v>
      </c>
      <c r="N42" s="165">
        <f t="shared" si="34"/>
        <v>14.803736000000001</v>
      </c>
      <c r="O42" s="166">
        <f t="shared" si="34"/>
        <v>6.7487619999999993</v>
      </c>
      <c r="P42" s="167">
        <f t="shared" si="32"/>
        <v>21.55</v>
      </c>
      <c r="Q42" s="168">
        <f t="shared" si="28"/>
        <v>6299.7298548000008</v>
      </c>
      <c r="R42" s="169">
        <f t="shared" si="29"/>
        <v>2871.9356690999998</v>
      </c>
      <c r="S42" s="169">
        <f t="shared" ref="S42" si="35">TRUNC(SUM(Q42:R42),2)</f>
        <v>9171.66</v>
      </c>
      <c r="T42" s="161">
        <f t="shared" si="22"/>
        <v>3.6217458900495831E-3</v>
      </c>
    </row>
    <row r="43" spans="2:20" x14ac:dyDescent="0.25">
      <c r="B43" s="162"/>
      <c r="C43" s="160"/>
      <c r="D43" s="171"/>
      <c r="E43" s="163"/>
      <c r="F43" s="160"/>
      <c r="G43" s="164"/>
      <c r="H43" s="165"/>
      <c r="I43" s="166"/>
      <c r="J43" s="167"/>
      <c r="K43" s="168"/>
      <c r="L43" s="168"/>
      <c r="M43" s="426"/>
      <c r="N43" s="165"/>
      <c r="O43" s="166"/>
      <c r="P43" s="167"/>
      <c r="Q43" s="168"/>
      <c r="R43" s="168"/>
      <c r="S43" s="168"/>
      <c r="T43" s="161"/>
    </row>
    <row r="44" spans="2:20" x14ac:dyDescent="0.25">
      <c r="B44" s="327" t="s">
        <v>254</v>
      </c>
      <c r="C44" s="328"/>
      <c r="D44" s="328"/>
      <c r="E44" s="329" t="s">
        <v>226</v>
      </c>
      <c r="F44" s="330"/>
      <c r="G44" s="331"/>
      <c r="H44" s="332"/>
      <c r="I44" s="330"/>
      <c r="J44" s="333"/>
      <c r="K44" s="391">
        <f>SUM(K45:K50)</f>
        <v>29724.305999999997</v>
      </c>
      <c r="L44" s="391">
        <f>SUM(L45:L50)</f>
        <v>44346.965999999993</v>
      </c>
      <c r="M44" s="391">
        <f>SUM(M45:M50)</f>
        <v>74071.27</v>
      </c>
      <c r="N44" s="397">
        <f t="shared" ref="N44:O93" si="36">+H44*(1+$T$10)</f>
        <v>0</v>
      </c>
      <c r="O44" s="398">
        <f t="shared" si="36"/>
        <v>0</v>
      </c>
      <c r="P44" s="399"/>
      <c r="Q44" s="391">
        <f>SUM(Q45:Q50)</f>
        <v>38064.946263599995</v>
      </c>
      <c r="R44" s="391">
        <f>SUM(R45:R50)</f>
        <v>56790.72465959999</v>
      </c>
      <c r="S44" s="391">
        <f>SUM(S45:S50)</f>
        <v>94855.65</v>
      </c>
      <c r="T44" s="334">
        <f t="shared" ref="T44:T50" si="37">+S44/$S$212</f>
        <v>3.7457020924836042E-2</v>
      </c>
    </row>
    <row r="45" spans="2:20" ht="25.5" x14ac:dyDescent="0.25">
      <c r="B45" s="162" t="s">
        <v>131</v>
      </c>
      <c r="C45" s="160" t="s">
        <v>745</v>
      </c>
      <c r="D45" s="171" t="s">
        <v>125</v>
      </c>
      <c r="E45" s="163" t="s">
        <v>581</v>
      </c>
      <c r="F45" s="160" t="s">
        <v>2</v>
      </c>
      <c r="G45" s="164">
        <v>2480.1999999999998</v>
      </c>
      <c r="H45" s="165">
        <v>10.23</v>
      </c>
      <c r="I45" s="166">
        <v>14.28</v>
      </c>
      <c r="J45" s="167">
        <f>TRUNC(SUM(H45:I45),2)</f>
        <v>24.51</v>
      </c>
      <c r="K45" s="168">
        <f>+H45*G45</f>
        <v>25372.446</v>
      </c>
      <c r="L45" s="169">
        <f>+I45*G45</f>
        <v>35417.255999999994</v>
      </c>
      <c r="M45" s="170">
        <f t="shared" ref="M45:M50" si="38">TRUNC(SUM(K45:L45),2)</f>
        <v>60789.7</v>
      </c>
      <c r="N45" s="165">
        <f t="shared" si="36"/>
        <v>13.100538</v>
      </c>
      <c r="O45" s="166">
        <f t="shared" si="36"/>
        <v>18.286967999999998</v>
      </c>
      <c r="P45" s="167">
        <f>TRUNC(SUM(N45:O45),2)</f>
        <v>31.38</v>
      </c>
      <c r="Q45" s="168">
        <f>+N45*G45</f>
        <v>32491.9543476</v>
      </c>
      <c r="R45" s="169">
        <f>+O45*G45</f>
        <v>45355.33803359999</v>
      </c>
      <c r="S45" s="169">
        <f>TRUNC(SUM(Q45:R45),2)</f>
        <v>77847.289999999994</v>
      </c>
      <c r="T45" s="161">
        <f t="shared" si="37"/>
        <v>3.0740684086522831E-2</v>
      </c>
    </row>
    <row r="46" spans="2:20" x14ac:dyDescent="0.25">
      <c r="B46" s="162" t="s">
        <v>1418</v>
      </c>
      <c r="C46" s="160">
        <v>120108</v>
      </c>
      <c r="D46" s="171" t="s">
        <v>214</v>
      </c>
      <c r="E46" s="163" t="s">
        <v>1420</v>
      </c>
      <c r="F46" s="160" t="s">
        <v>2</v>
      </c>
      <c r="G46" s="164">
        <v>9</v>
      </c>
      <c r="H46" s="165">
        <v>24.48</v>
      </c>
      <c r="I46" s="166">
        <v>164.22</v>
      </c>
      <c r="J46" s="167">
        <f>TRUNC(SUM(H46:I46),2)</f>
        <v>188.7</v>
      </c>
      <c r="K46" s="168">
        <f>+H46*G46</f>
        <v>220.32</v>
      </c>
      <c r="L46" s="169">
        <f>+I46*G46</f>
        <v>1477.98</v>
      </c>
      <c r="M46" s="170">
        <f t="shared" si="38"/>
        <v>1698.3</v>
      </c>
      <c r="N46" s="165">
        <f t="shared" si="36"/>
        <v>31.349087999999998</v>
      </c>
      <c r="O46" s="166">
        <f t="shared" si="36"/>
        <v>210.30013199999999</v>
      </c>
      <c r="P46" s="167">
        <f>TRUNC(SUM(N46:O46),2)</f>
        <v>241.64</v>
      </c>
      <c r="Q46" s="168">
        <f>+N46*G46</f>
        <v>282.14179200000001</v>
      </c>
      <c r="R46" s="169">
        <f>+O46*G46</f>
        <v>1892.701188</v>
      </c>
      <c r="S46" s="169">
        <f>TRUNC(SUM(Q46:R46),2)</f>
        <v>2174.84</v>
      </c>
      <c r="T46" s="161">
        <f t="shared" si="37"/>
        <v>8.588104913958254E-4</v>
      </c>
    </row>
    <row r="47" spans="2:20" ht="25.5" x14ac:dyDescent="0.25">
      <c r="B47" s="162" t="s">
        <v>1428</v>
      </c>
      <c r="C47" s="160">
        <v>10029</v>
      </c>
      <c r="D47" s="171" t="s">
        <v>177</v>
      </c>
      <c r="E47" s="163" t="s">
        <v>1425</v>
      </c>
      <c r="F47" s="160" t="s">
        <v>2</v>
      </c>
      <c r="G47" s="164">
        <v>9</v>
      </c>
      <c r="H47" s="165">
        <v>28.06</v>
      </c>
      <c r="I47" s="166">
        <v>97.57</v>
      </c>
      <c r="J47" s="167">
        <f t="shared" ref="J47:J50" si="39">TRUNC(SUM(H47:I47),2)</f>
        <v>125.63</v>
      </c>
      <c r="K47" s="168">
        <f t="shared" ref="K47:K50" si="40">+H47*G47</f>
        <v>252.54</v>
      </c>
      <c r="L47" s="169">
        <f t="shared" ref="L47:L50" si="41">+I47*G47</f>
        <v>878.12999999999988</v>
      </c>
      <c r="M47" s="170">
        <f t="shared" si="38"/>
        <v>1130.67</v>
      </c>
      <c r="N47" s="165">
        <f t="shared" si="36"/>
        <v>35.933636</v>
      </c>
      <c r="O47" s="166">
        <f t="shared" si="36"/>
        <v>124.94814199999999</v>
      </c>
      <c r="P47" s="167">
        <f t="shared" ref="P47:P50" si="42">TRUNC(SUM(N47:O47),2)</f>
        <v>160.88</v>
      </c>
      <c r="Q47" s="168">
        <f t="shared" ref="Q47:Q50" si="43">+N47*G47</f>
        <v>323.40272399999998</v>
      </c>
      <c r="R47" s="169">
        <f t="shared" ref="R47:R50" si="44">+O47*G47</f>
        <v>1124.5332779999999</v>
      </c>
      <c r="S47" s="169">
        <f t="shared" ref="S47:S50" si="45">TRUNC(SUM(Q47:R47),2)</f>
        <v>1447.93</v>
      </c>
      <c r="T47" s="161">
        <f t="shared" si="37"/>
        <v>5.7176503779899095E-4</v>
      </c>
    </row>
    <row r="48" spans="2:20" ht="25.5" x14ac:dyDescent="0.25">
      <c r="B48" s="162" t="s">
        <v>1429</v>
      </c>
      <c r="C48" s="160">
        <v>96113</v>
      </c>
      <c r="D48" s="171" t="s">
        <v>31</v>
      </c>
      <c r="E48" s="163" t="s">
        <v>1433</v>
      </c>
      <c r="F48" s="160" t="s">
        <v>2</v>
      </c>
      <c r="G48" s="164">
        <v>180</v>
      </c>
      <c r="H48" s="165">
        <v>13.81</v>
      </c>
      <c r="I48" s="166">
        <v>20.9</v>
      </c>
      <c r="J48" s="167">
        <f t="shared" si="39"/>
        <v>34.71</v>
      </c>
      <c r="K48" s="168">
        <f t="shared" si="40"/>
        <v>2485.8000000000002</v>
      </c>
      <c r="L48" s="169">
        <f t="shared" si="41"/>
        <v>3761.9999999999995</v>
      </c>
      <c r="M48" s="170">
        <f t="shared" si="38"/>
        <v>6247.8</v>
      </c>
      <c r="N48" s="165">
        <f t="shared" si="36"/>
        <v>17.685086000000002</v>
      </c>
      <c r="O48" s="166">
        <f t="shared" si="36"/>
        <v>26.764539999999997</v>
      </c>
      <c r="P48" s="167">
        <f t="shared" si="42"/>
        <v>44.44</v>
      </c>
      <c r="Q48" s="168">
        <f t="shared" si="43"/>
        <v>3183.3154800000002</v>
      </c>
      <c r="R48" s="169">
        <f t="shared" si="44"/>
        <v>4817.6171999999997</v>
      </c>
      <c r="S48" s="169">
        <f t="shared" si="45"/>
        <v>8000.93</v>
      </c>
      <c r="T48" s="161">
        <f t="shared" si="37"/>
        <v>3.1594428210459627E-3</v>
      </c>
    </row>
    <row r="49" spans="2:20" ht="25.5" x14ac:dyDescent="0.25">
      <c r="B49" s="162" t="s">
        <v>1430</v>
      </c>
      <c r="C49" s="160">
        <v>88497</v>
      </c>
      <c r="D49" s="171" t="s">
        <v>31</v>
      </c>
      <c r="E49" s="163" t="s">
        <v>1435</v>
      </c>
      <c r="F49" s="160" t="s">
        <v>2</v>
      </c>
      <c r="G49" s="164">
        <v>180</v>
      </c>
      <c r="H49" s="165">
        <v>6.52</v>
      </c>
      <c r="I49" s="166">
        <v>6.85</v>
      </c>
      <c r="J49" s="167">
        <f t="shared" si="39"/>
        <v>13.37</v>
      </c>
      <c r="K49" s="168">
        <f t="shared" si="40"/>
        <v>1173.5999999999999</v>
      </c>
      <c r="L49" s="169">
        <f t="shared" si="41"/>
        <v>1233</v>
      </c>
      <c r="M49" s="170">
        <f t="shared" si="38"/>
        <v>2406.6</v>
      </c>
      <c r="N49" s="165">
        <f t="shared" si="36"/>
        <v>8.3495119999999989</v>
      </c>
      <c r="O49" s="166">
        <f t="shared" si="36"/>
        <v>8.7721099999999996</v>
      </c>
      <c r="P49" s="167">
        <f t="shared" si="42"/>
        <v>17.12</v>
      </c>
      <c r="Q49" s="168">
        <f t="shared" si="43"/>
        <v>1502.9121599999999</v>
      </c>
      <c r="R49" s="169">
        <f t="shared" si="44"/>
        <v>1578.9797999999998</v>
      </c>
      <c r="S49" s="169">
        <f t="shared" si="45"/>
        <v>3081.89</v>
      </c>
      <c r="T49" s="161">
        <f t="shared" si="37"/>
        <v>1.2169904293317579E-3</v>
      </c>
    </row>
    <row r="50" spans="2:20" ht="25.5" x14ac:dyDescent="0.25">
      <c r="B50" s="162" t="s">
        <v>1431</v>
      </c>
      <c r="C50" s="160">
        <v>88492</v>
      </c>
      <c r="D50" s="171" t="s">
        <v>31</v>
      </c>
      <c r="E50" s="163" t="s">
        <v>1427</v>
      </c>
      <c r="F50" s="160" t="s">
        <v>2</v>
      </c>
      <c r="G50" s="164">
        <v>180</v>
      </c>
      <c r="H50" s="165">
        <v>1.22</v>
      </c>
      <c r="I50" s="166">
        <v>8.77</v>
      </c>
      <c r="J50" s="167">
        <f t="shared" si="39"/>
        <v>9.99</v>
      </c>
      <c r="K50" s="168">
        <f t="shared" si="40"/>
        <v>219.6</v>
      </c>
      <c r="L50" s="169">
        <f t="shared" si="41"/>
        <v>1578.6</v>
      </c>
      <c r="M50" s="170">
        <f t="shared" si="38"/>
        <v>1798.2</v>
      </c>
      <c r="N50" s="165">
        <f t="shared" si="36"/>
        <v>1.5623319999999998</v>
      </c>
      <c r="O50" s="166">
        <f t="shared" si="36"/>
        <v>11.230861999999998</v>
      </c>
      <c r="P50" s="167">
        <f t="shared" si="42"/>
        <v>12.79</v>
      </c>
      <c r="Q50" s="168">
        <f t="shared" si="43"/>
        <v>281.21975999999995</v>
      </c>
      <c r="R50" s="169">
        <f t="shared" si="44"/>
        <v>2021.5551599999997</v>
      </c>
      <c r="S50" s="169">
        <f t="shared" si="45"/>
        <v>2302.77</v>
      </c>
      <c r="T50" s="161">
        <f t="shared" si="37"/>
        <v>9.0932805874067275E-4</v>
      </c>
    </row>
    <row r="51" spans="2:20" x14ac:dyDescent="0.25">
      <c r="B51" s="162"/>
      <c r="C51" s="160"/>
      <c r="D51" s="171"/>
      <c r="E51" s="163"/>
      <c r="F51" s="160"/>
      <c r="G51" s="164"/>
      <c r="H51" s="165"/>
      <c r="I51" s="166"/>
      <c r="J51" s="167"/>
      <c r="K51" s="168"/>
      <c r="L51" s="169"/>
      <c r="M51" s="170"/>
      <c r="N51" s="165"/>
      <c r="O51" s="166"/>
      <c r="P51" s="167"/>
      <c r="Q51" s="168"/>
      <c r="R51" s="169"/>
      <c r="S51" s="169"/>
      <c r="T51" s="161"/>
    </row>
    <row r="52" spans="2:20" x14ac:dyDescent="0.25">
      <c r="B52" s="327" t="s">
        <v>255</v>
      </c>
      <c r="C52" s="328"/>
      <c r="D52" s="328"/>
      <c r="E52" s="329" t="s">
        <v>209</v>
      </c>
      <c r="F52" s="330"/>
      <c r="G52" s="331"/>
      <c r="H52" s="332"/>
      <c r="I52" s="330"/>
      <c r="J52" s="333"/>
      <c r="K52" s="391">
        <f>K53+K61</f>
        <v>60966.724999999999</v>
      </c>
      <c r="L52" s="391">
        <f t="shared" ref="L52:M52" si="46">L53+L61</f>
        <v>173716.60200000004</v>
      </c>
      <c r="M52" s="391">
        <f t="shared" si="46"/>
        <v>234683.32</v>
      </c>
      <c r="N52" s="397">
        <f t="shared" si="36"/>
        <v>0</v>
      </c>
      <c r="O52" s="398">
        <f t="shared" si="36"/>
        <v>0</v>
      </c>
      <c r="P52" s="399"/>
      <c r="Q52" s="391">
        <f>Q53+Q61</f>
        <v>78073.988035000002</v>
      </c>
      <c r="R52" s="391">
        <f t="shared" ref="R52:S52" si="47">R53+R61</f>
        <v>222461.48052119999</v>
      </c>
      <c r="S52" s="391">
        <f t="shared" si="47"/>
        <v>300535.38999999996</v>
      </c>
      <c r="T52" s="334">
        <f>+S52/$S$212</f>
        <v>0.11867675137837082</v>
      </c>
    </row>
    <row r="53" spans="2:20" x14ac:dyDescent="0.25">
      <c r="B53" s="339" t="s">
        <v>256</v>
      </c>
      <c r="C53" s="340"/>
      <c r="D53" s="340"/>
      <c r="E53" s="341" t="s">
        <v>863</v>
      </c>
      <c r="F53" s="342"/>
      <c r="G53" s="343"/>
      <c r="H53" s="344"/>
      <c r="I53" s="342"/>
      <c r="J53" s="345"/>
      <c r="K53" s="393">
        <f>SUM(K54:K60)</f>
        <v>7630.5300000000007</v>
      </c>
      <c r="L53" s="393">
        <f t="shared" ref="L53:M53" si="48">SUM(L54:L60)</f>
        <v>9028.6400000000012</v>
      </c>
      <c r="M53" s="393">
        <f t="shared" si="48"/>
        <v>16659.169999999998</v>
      </c>
      <c r="N53" s="400">
        <f t="shared" si="36"/>
        <v>0</v>
      </c>
      <c r="O53" s="401">
        <f t="shared" si="36"/>
        <v>0</v>
      </c>
      <c r="P53" s="402"/>
      <c r="Q53" s="393">
        <f>SUM(Q54:Q60)</f>
        <v>9771.6567180000002</v>
      </c>
      <c r="R53" s="393">
        <f t="shared" ref="R53:S53" si="49">SUM(R54:R60)</f>
        <v>11562.076383999998</v>
      </c>
      <c r="S53" s="393">
        <f t="shared" si="49"/>
        <v>21333.690000000002</v>
      </c>
      <c r="T53" s="346">
        <f>+S53/$S$212</f>
        <v>8.4243423848127715E-3</v>
      </c>
    </row>
    <row r="54" spans="2:20" x14ac:dyDescent="0.25">
      <c r="B54" s="162" t="s">
        <v>132</v>
      </c>
      <c r="C54" s="160" t="s">
        <v>864</v>
      </c>
      <c r="D54" s="171" t="s">
        <v>865</v>
      </c>
      <c r="E54" s="163" t="s">
        <v>866</v>
      </c>
      <c r="F54" s="160" t="s">
        <v>22</v>
      </c>
      <c r="G54" s="164">
        <v>293</v>
      </c>
      <c r="H54" s="165">
        <v>4.88</v>
      </c>
      <c r="I54" s="166">
        <v>5.29</v>
      </c>
      <c r="J54" s="167">
        <f t="shared" ref="J54:J109" si="50">TRUNC(SUM(H54:I54),2)</f>
        <v>10.17</v>
      </c>
      <c r="K54" s="168">
        <f>+H54*G54</f>
        <v>1429.84</v>
      </c>
      <c r="L54" s="169">
        <f>+I54*G54</f>
        <v>1549.97</v>
      </c>
      <c r="M54" s="170">
        <f t="shared" ref="M54:M60" si="51">TRUNC(SUM(K54:L54),2)</f>
        <v>2979.81</v>
      </c>
      <c r="N54" s="165">
        <f t="shared" si="36"/>
        <v>6.2493279999999993</v>
      </c>
      <c r="O54" s="166">
        <f t="shared" si="36"/>
        <v>6.7743739999999999</v>
      </c>
      <c r="P54" s="167">
        <f t="shared" ref="P54:P105" si="52">TRUNC(SUM(N54:O54),2)</f>
        <v>13.02</v>
      </c>
      <c r="Q54" s="168">
        <f t="shared" ref="Q54:Q104" si="53">+N54*G54</f>
        <v>1831.0531039999998</v>
      </c>
      <c r="R54" s="169">
        <f t="shared" ref="R54:R104" si="54">+O54*G54</f>
        <v>1984.891582</v>
      </c>
      <c r="S54" s="169">
        <f t="shared" ref="S54:S104" si="55">TRUNC(SUM(Q54:R54),2)</f>
        <v>3815.94</v>
      </c>
      <c r="T54" s="161">
        <f t="shared" ref="T54:T60" si="56">+S54/$S$212</f>
        <v>1.5068553578824124E-3</v>
      </c>
    </row>
    <row r="55" spans="2:20" ht="25.5" x14ac:dyDescent="0.25">
      <c r="B55" s="162" t="s">
        <v>1441</v>
      </c>
      <c r="C55" s="160" t="s">
        <v>765</v>
      </c>
      <c r="D55" s="171" t="s">
        <v>125</v>
      </c>
      <c r="E55" s="163" t="s">
        <v>452</v>
      </c>
      <c r="F55" s="160" t="s">
        <v>22</v>
      </c>
      <c r="G55" s="164">
        <v>31</v>
      </c>
      <c r="H55" s="165">
        <v>7.7</v>
      </c>
      <c r="I55" s="166">
        <v>4.92</v>
      </c>
      <c r="J55" s="167">
        <f t="shared" si="50"/>
        <v>12.62</v>
      </c>
      <c r="K55" s="168">
        <f t="shared" ref="K55:K57" si="57">+H55*G55</f>
        <v>238.70000000000002</v>
      </c>
      <c r="L55" s="169">
        <f t="shared" ref="L55:L57" si="58">+I55*G55</f>
        <v>152.52000000000001</v>
      </c>
      <c r="M55" s="170">
        <f t="shared" si="51"/>
        <v>391.22</v>
      </c>
      <c r="N55" s="165">
        <f t="shared" si="36"/>
        <v>9.8606199999999991</v>
      </c>
      <c r="O55" s="166">
        <f t="shared" si="36"/>
        <v>6.3005519999999997</v>
      </c>
      <c r="P55" s="167">
        <f t="shared" si="52"/>
        <v>16.16</v>
      </c>
      <c r="Q55" s="168">
        <f t="shared" si="53"/>
        <v>305.67921999999999</v>
      </c>
      <c r="R55" s="169">
        <f t="shared" si="54"/>
        <v>195.31711199999998</v>
      </c>
      <c r="S55" s="169">
        <f t="shared" si="55"/>
        <v>500.99</v>
      </c>
      <c r="T55" s="161">
        <f t="shared" si="56"/>
        <v>1.9783315925971315E-4</v>
      </c>
    </row>
    <row r="56" spans="2:20" x14ac:dyDescent="0.25">
      <c r="B56" s="162" t="s">
        <v>1442</v>
      </c>
      <c r="C56" s="160" t="s">
        <v>307</v>
      </c>
      <c r="D56" s="171" t="s">
        <v>214</v>
      </c>
      <c r="E56" s="163" t="s">
        <v>308</v>
      </c>
      <c r="F56" s="160" t="s">
        <v>22</v>
      </c>
      <c r="G56" s="164">
        <v>8</v>
      </c>
      <c r="H56" s="165">
        <v>7.88</v>
      </c>
      <c r="I56" s="166">
        <v>12.22</v>
      </c>
      <c r="J56" s="167">
        <f t="shared" si="50"/>
        <v>20.100000000000001</v>
      </c>
      <c r="K56" s="168">
        <f t="shared" si="57"/>
        <v>63.04</v>
      </c>
      <c r="L56" s="169">
        <f t="shared" si="58"/>
        <v>97.76</v>
      </c>
      <c r="M56" s="170">
        <f t="shared" si="51"/>
        <v>160.80000000000001</v>
      </c>
      <c r="N56" s="165">
        <f t="shared" si="36"/>
        <v>10.091127999999999</v>
      </c>
      <c r="O56" s="166">
        <f t="shared" si="36"/>
        <v>15.648932</v>
      </c>
      <c r="P56" s="167">
        <f t="shared" si="52"/>
        <v>25.74</v>
      </c>
      <c r="Q56" s="168">
        <f t="shared" si="53"/>
        <v>80.729023999999995</v>
      </c>
      <c r="R56" s="169">
        <f t="shared" si="54"/>
        <v>125.191456</v>
      </c>
      <c r="S56" s="169">
        <f t="shared" si="55"/>
        <v>205.92</v>
      </c>
      <c r="T56" s="161">
        <f t="shared" si="56"/>
        <v>8.1314605390846382E-5</v>
      </c>
    </row>
    <row r="57" spans="2:20" x14ac:dyDescent="0.25">
      <c r="B57" s="162" t="s">
        <v>1443</v>
      </c>
      <c r="C57" s="160" t="s">
        <v>766</v>
      </c>
      <c r="D57" s="171" t="s">
        <v>125</v>
      </c>
      <c r="E57" s="163" t="s">
        <v>455</v>
      </c>
      <c r="F57" s="160" t="s">
        <v>22</v>
      </c>
      <c r="G57" s="164">
        <v>329</v>
      </c>
      <c r="H57" s="165">
        <v>2.95</v>
      </c>
      <c r="I57" s="166">
        <v>2.34</v>
      </c>
      <c r="J57" s="167">
        <f t="shared" si="50"/>
        <v>5.29</v>
      </c>
      <c r="K57" s="168">
        <f t="shared" si="57"/>
        <v>970.55000000000007</v>
      </c>
      <c r="L57" s="169">
        <f t="shared" si="58"/>
        <v>769.8599999999999</v>
      </c>
      <c r="M57" s="170">
        <f t="shared" si="51"/>
        <v>1740.41</v>
      </c>
      <c r="N57" s="165">
        <f t="shared" si="36"/>
        <v>3.7777700000000003</v>
      </c>
      <c r="O57" s="166">
        <f t="shared" si="36"/>
        <v>2.9966039999999996</v>
      </c>
      <c r="P57" s="167">
        <f t="shared" si="52"/>
        <v>6.77</v>
      </c>
      <c r="Q57" s="168">
        <f t="shared" si="53"/>
        <v>1242.88633</v>
      </c>
      <c r="R57" s="169">
        <f t="shared" si="54"/>
        <v>985.88271599999985</v>
      </c>
      <c r="S57" s="169">
        <f t="shared" si="55"/>
        <v>2228.7600000000002</v>
      </c>
      <c r="T57" s="161">
        <f t="shared" si="56"/>
        <v>8.8010266079498255E-4</v>
      </c>
    </row>
    <row r="58" spans="2:20" x14ac:dyDescent="0.25">
      <c r="B58" s="162" t="s">
        <v>1444</v>
      </c>
      <c r="C58" s="160" t="s">
        <v>867</v>
      </c>
      <c r="D58" s="171" t="s">
        <v>31</v>
      </c>
      <c r="E58" s="163" t="s">
        <v>868</v>
      </c>
      <c r="F58" s="160" t="s">
        <v>22</v>
      </c>
      <c r="G58" s="164">
        <v>186</v>
      </c>
      <c r="H58" s="165">
        <v>4.4400000000000004</v>
      </c>
      <c r="I58" s="166">
        <v>4.17</v>
      </c>
      <c r="J58" s="167">
        <f t="shared" si="50"/>
        <v>8.61</v>
      </c>
      <c r="K58" s="168">
        <f>+H58*G58</f>
        <v>825.84</v>
      </c>
      <c r="L58" s="169">
        <f>+I58*G58</f>
        <v>775.62</v>
      </c>
      <c r="M58" s="170">
        <f t="shared" si="51"/>
        <v>1601.46</v>
      </c>
      <c r="N58" s="165">
        <f t="shared" si="36"/>
        <v>5.6858640000000005</v>
      </c>
      <c r="O58" s="166">
        <f t="shared" si="36"/>
        <v>5.3401019999999999</v>
      </c>
      <c r="P58" s="167">
        <f t="shared" si="52"/>
        <v>11.02</v>
      </c>
      <c r="Q58" s="168">
        <f t="shared" si="53"/>
        <v>1057.570704</v>
      </c>
      <c r="R58" s="169">
        <f t="shared" si="54"/>
        <v>993.25897199999997</v>
      </c>
      <c r="S58" s="169">
        <f t="shared" si="55"/>
        <v>2050.8200000000002</v>
      </c>
      <c r="T58" s="161">
        <f t="shared" si="56"/>
        <v>8.0983692223997479E-4</v>
      </c>
    </row>
    <row r="59" spans="2:20" x14ac:dyDescent="0.25">
      <c r="B59" s="162" t="s">
        <v>1445</v>
      </c>
      <c r="C59" s="160" t="s">
        <v>869</v>
      </c>
      <c r="D59" s="171" t="s">
        <v>31</v>
      </c>
      <c r="E59" s="163" t="s">
        <v>870</v>
      </c>
      <c r="F59" s="160" t="s">
        <v>22</v>
      </c>
      <c r="G59" s="164">
        <v>924</v>
      </c>
      <c r="H59" s="165">
        <v>4.4400000000000004</v>
      </c>
      <c r="I59" s="166">
        <v>6.12</v>
      </c>
      <c r="J59" s="167">
        <f t="shared" si="50"/>
        <v>10.56</v>
      </c>
      <c r="K59" s="168">
        <f>+H59*G59</f>
        <v>4102.5600000000004</v>
      </c>
      <c r="L59" s="169">
        <f>+I59*G59</f>
        <v>5654.88</v>
      </c>
      <c r="M59" s="170">
        <f t="shared" si="51"/>
        <v>9757.44</v>
      </c>
      <c r="N59" s="165">
        <f t="shared" si="36"/>
        <v>5.6858640000000005</v>
      </c>
      <c r="O59" s="166">
        <f t="shared" si="36"/>
        <v>7.8372719999999996</v>
      </c>
      <c r="P59" s="167">
        <f t="shared" si="52"/>
        <v>13.52</v>
      </c>
      <c r="Q59" s="168">
        <f t="shared" si="53"/>
        <v>5253.7383360000003</v>
      </c>
      <c r="R59" s="169">
        <f t="shared" si="54"/>
        <v>7241.6393279999993</v>
      </c>
      <c r="S59" s="169">
        <f t="shared" si="55"/>
        <v>12495.37</v>
      </c>
      <c r="T59" s="161">
        <f t="shared" si="56"/>
        <v>4.9342272764307509E-3</v>
      </c>
    </row>
    <row r="60" spans="2:20" x14ac:dyDescent="0.25">
      <c r="B60" s="162" t="s">
        <v>1446</v>
      </c>
      <c r="C60" s="160" t="s">
        <v>871</v>
      </c>
      <c r="D60" s="171" t="s">
        <v>177</v>
      </c>
      <c r="E60" s="163" t="s">
        <v>872</v>
      </c>
      <c r="F60" s="160" t="s">
        <v>847</v>
      </c>
      <c r="G60" s="164">
        <v>1</v>
      </c>
      <c r="H60" s="165">
        <v>0</v>
      </c>
      <c r="I60" s="166">
        <v>28.03</v>
      </c>
      <c r="J60" s="167">
        <f t="shared" si="50"/>
        <v>28.03</v>
      </c>
      <c r="K60" s="168">
        <f t="shared" ref="K60" si="59">+H60*G60</f>
        <v>0</v>
      </c>
      <c r="L60" s="169">
        <f t="shared" ref="L60" si="60">+I60*G60</f>
        <v>28.03</v>
      </c>
      <c r="M60" s="170">
        <f t="shared" si="51"/>
        <v>28.03</v>
      </c>
      <c r="N60" s="165">
        <f t="shared" si="36"/>
        <v>0</v>
      </c>
      <c r="O60" s="166">
        <f t="shared" si="36"/>
        <v>35.895218</v>
      </c>
      <c r="P60" s="167">
        <f t="shared" si="52"/>
        <v>35.89</v>
      </c>
      <c r="Q60" s="168">
        <f t="shared" si="53"/>
        <v>0</v>
      </c>
      <c r="R60" s="169">
        <f t="shared" si="54"/>
        <v>35.895218</v>
      </c>
      <c r="S60" s="169">
        <f t="shared" si="55"/>
        <v>35.89</v>
      </c>
      <c r="T60" s="161">
        <f t="shared" si="56"/>
        <v>1.4172402814090312E-5</v>
      </c>
    </row>
    <row r="61" spans="2:20" x14ac:dyDescent="0.25">
      <c r="B61" s="339" t="s">
        <v>257</v>
      </c>
      <c r="C61" s="340"/>
      <c r="D61" s="340"/>
      <c r="E61" s="341" t="s">
        <v>873</v>
      </c>
      <c r="F61" s="342"/>
      <c r="G61" s="343"/>
      <c r="H61" s="344"/>
      <c r="I61" s="342"/>
      <c r="J61" s="345">
        <f t="shared" si="50"/>
        <v>0</v>
      </c>
      <c r="K61" s="393">
        <f>SUM(K62:K67)</f>
        <v>53336.195</v>
      </c>
      <c r="L61" s="393">
        <f>SUM(L62:L67)</f>
        <v>164687.96200000003</v>
      </c>
      <c r="M61" s="393">
        <f>SUM(M62:M67)</f>
        <v>218024.15</v>
      </c>
      <c r="N61" s="394">
        <f t="shared" si="36"/>
        <v>0</v>
      </c>
      <c r="O61" s="348">
        <f t="shared" si="36"/>
        <v>0</v>
      </c>
      <c r="P61" s="349">
        <f t="shared" si="52"/>
        <v>0</v>
      </c>
      <c r="Q61" s="393">
        <f>SUM(Q62:Q67)</f>
        <v>68302.331317000004</v>
      </c>
      <c r="R61" s="393">
        <f>SUM(R62:R67)</f>
        <v>210899.40413720001</v>
      </c>
      <c r="S61" s="393">
        <f>SUM(S62:S67)</f>
        <v>279201.69999999995</v>
      </c>
      <c r="T61" s="346">
        <f>+S61/$S$212</f>
        <v>0.11025240899355805</v>
      </c>
    </row>
    <row r="62" spans="2:20" ht="38.25" x14ac:dyDescent="0.25">
      <c r="B62" s="162" t="s">
        <v>133</v>
      </c>
      <c r="C62" s="160" t="s">
        <v>874</v>
      </c>
      <c r="D62" s="171" t="s">
        <v>875</v>
      </c>
      <c r="E62" s="163" t="s">
        <v>876</v>
      </c>
      <c r="F62" s="160" t="s">
        <v>877</v>
      </c>
      <c r="G62" s="164">
        <v>504.8</v>
      </c>
      <c r="H62" s="165">
        <v>2.84</v>
      </c>
      <c r="I62" s="166">
        <v>11.66</v>
      </c>
      <c r="J62" s="167">
        <f t="shared" si="50"/>
        <v>14.5</v>
      </c>
      <c r="K62" s="168">
        <f>+H62*G62</f>
        <v>1433.6320000000001</v>
      </c>
      <c r="L62" s="169">
        <f>+I62*G62</f>
        <v>5885.9679999999998</v>
      </c>
      <c r="M62" s="170">
        <f t="shared" ref="M62:M67" si="61">TRUNC(SUM(K62:L62),2)</f>
        <v>7319.6</v>
      </c>
      <c r="N62" s="165">
        <f t="shared" si="36"/>
        <v>3.6369039999999999</v>
      </c>
      <c r="O62" s="166">
        <f t="shared" si="36"/>
        <v>14.931796</v>
      </c>
      <c r="P62" s="167">
        <f t="shared" si="52"/>
        <v>18.559999999999999</v>
      </c>
      <c r="Q62" s="168">
        <f t="shared" si="53"/>
        <v>1835.9091392</v>
      </c>
      <c r="R62" s="169">
        <f t="shared" si="54"/>
        <v>7537.5706208000001</v>
      </c>
      <c r="S62" s="169">
        <f t="shared" si="55"/>
        <v>9373.4699999999993</v>
      </c>
      <c r="T62" s="161">
        <f t="shared" ref="T62:T67" si="62">+S62/$S$212</f>
        <v>3.7014375203619698E-3</v>
      </c>
    </row>
    <row r="63" spans="2:20" ht="38.25" x14ac:dyDescent="0.25">
      <c r="B63" s="162" t="s">
        <v>1447</v>
      </c>
      <c r="C63" s="160" t="s">
        <v>878</v>
      </c>
      <c r="D63" s="171" t="s">
        <v>875</v>
      </c>
      <c r="E63" s="163" t="s">
        <v>879</v>
      </c>
      <c r="F63" s="160" t="s">
        <v>877</v>
      </c>
      <c r="G63" s="164">
        <v>500</v>
      </c>
      <c r="H63" s="165">
        <v>2.84</v>
      </c>
      <c r="I63" s="166">
        <v>18.75</v>
      </c>
      <c r="J63" s="167">
        <f t="shared" si="50"/>
        <v>21.59</v>
      </c>
      <c r="K63" s="168">
        <f>+H63*G63</f>
        <v>1420</v>
      </c>
      <c r="L63" s="169">
        <f>+I63*G63</f>
        <v>9375</v>
      </c>
      <c r="M63" s="170">
        <f t="shared" si="61"/>
        <v>10795</v>
      </c>
      <c r="N63" s="165">
        <f t="shared" si="36"/>
        <v>3.6369039999999999</v>
      </c>
      <c r="O63" s="166">
        <f t="shared" si="36"/>
        <v>24.01125</v>
      </c>
      <c r="P63" s="167">
        <f t="shared" si="52"/>
        <v>27.64</v>
      </c>
      <c r="Q63" s="168">
        <f t="shared" si="53"/>
        <v>1818.452</v>
      </c>
      <c r="R63" s="169">
        <f t="shared" si="54"/>
        <v>12005.625</v>
      </c>
      <c r="S63" s="169">
        <f t="shared" si="55"/>
        <v>13824.07</v>
      </c>
      <c r="T63" s="161">
        <f t="shared" si="62"/>
        <v>5.4589102415765244E-3</v>
      </c>
    </row>
    <row r="64" spans="2:20" ht="38.25" x14ac:dyDescent="0.25">
      <c r="B64" s="162" t="s">
        <v>1448</v>
      </c>
      <c r="C64" s="160" t="s">
        <v>880</v>
      </c>
      <c r="D64" s="171" t="s">
        <v>875</v>
      </c>
      <c r="E64" s="163" t="s">
        <v>881</v>
      </c>
      <c r="F64" s="160" t="s">
        <v>877</v>
      </c>
      <c r="G64" s="164">
        <v>146</v>
      </c>
      <c r="H64" s="165">
        <v>2.82</v>
      </c>
      <c r="I64" s="166">
        <v>28.66</v>
      </c>
      <c r="J64" s="167">
        <f t="shared" si="50"/>
        <v>31.48</v>
      </c>
      <c r="K64" s="168">
        <f t="shared" ref="K64" si="63">+H64*G64</f>
        <v>411.71999999999997</v>
      </c>
      <c r="L64" s="169">
        <f t="shared" ref="L64" si="64">+I64*G64</f>
        <v>4184.3599999999997</v>
      </c>
      <c r="M64" s="170">
        <f t="shared" si="61"/>
        <v>4596.08</v>
      </c>
      <c r="N64" s="165">
        <f t="shared" si="36"/>
        <v>3.6112919999999997</v>
      </c>
      <c r="O64" s="166">
        <f t="shared" si="36"/>
        <v>36.701996000000001</v>
      </c>
      <c r="P64" s="167">
        <f t="shared" si="52"/>
        <v>40.31</v>
      </c>
      <c r="Q64" s="168">
        <f t="shared" si="53"/>
        <v>527.24863199999993</v>
      </c>
      <c r="R64" s="169">
        <f t="shared" si="54"/>
        <v>5358.4914159999998</v>
      </c>
      <c r="S64" s="169">
        <f t="shared" si="55"/>
        <v>5885.74</v>
      </c>
      <c r="T64" s="161">
        <f t="shared" si="62"/>
        <v>2.324187186932402E-3</v>
      </c>
    </row>
    <row r="65" spans="2:20" ht="38.25" x14ac:dyDescent="0.25">
      <c r="B65" s="162" t="s">
        <v>1449</v>
      </c>
      <c r="C65" s="160" t="s">
        <v>882</v>
      </c>
      <c r="D65" s="171" t="s">
        <v>875</v>
      </c>
      <c r="E65" s="163" t="s">
        <v>1362</v>
      </c>
      <c r="F65" s="160" t="s">
        <v>877</v>
      </c>
      <c r="G65" s="164">
        <v>562.5</v>
      </c>
      <c r="H65" s="165">
        <v>1.53</v>
      </c>
      <c r="I65" s="166">
        <v>8.81</v>
      </c>
      <c r="J65" s="167">
        <f t="shared" si="50"/>
        <v>10.34</v>
      </c>
      <c r="K65" s="168">
        <f>+H65*G65</f>
        <v>860.625</v>
      </c>
      <c r="L65" s="169">
        <f>+I65*G65</f>
        <v>4955.625</v>
      </c>
      <c r="M65" s="170">
        <f t="shared" si="61"/>
        <v>5816.25</v>
      </c>
      <c r="N65" s="165">
        <f t="shared" si="36"/>
        <v>1.9593179999999999</v>
      </c>
      <c r="O65" s="166">
        <f t="shared" si="36"/>
        <v>11.282086</v>
      </c>
      <c r="P65" s="167">
        <f t="shared" si="52"/>
        <v>13.24</v>
      </c>
      <c r="Q65" s="168">
        <f t="shared" si="53"/>
        <v>1102.1163749999998</v>
      </c>
      <c r="R65" s="169">
        <f t="shared" si="54"/>
        <v>6346.1733749999994</v>
      </c>
      <c r="S65" s="169">
        <f t="shared" si="55"/>
        <v>7448.28</v>
      </c>
      <c r="T65" s="161">
        <f t="shared" si="62"/>
        <v>2.9412099312380213E-3</v>
      </c>
    </row>
    <row r="66" spans="2:20" ht="38.25" x14ac:dyDescent="0.25">
      <c r="B66" s="162" t="s">
        <v>1386</v>
      </c>
      <c r="C66" s="160" t="s">
        <v>883</v>
      </c>
      <c r="D66" s="171" t="s">
        <v>875</v>
      </c>
      <c r="E66" s="163" t="s">
        <v>884</v>
      </c>
      <c r="F66" s="160" t="s">
        <v>877</v>
      </c>
      <c r="G66" s="164">
        <v>38873.9</v>
      </c>
      <c r="H66" s="165">
        <v>1.2</v>
      </c>
      <c r="I66" s="166">
        <v>3.38</v>
      </c>
      <c r="J66" s="167">
        <f t="shared" si="50"/>
        <v>4.58</v>
      </c>
      <c r="K66" s="168">
        <f t="shared" ref="K66:K67" si="65">+H66*G66</f>
        <v>46648.68</v>
      </c>
      <c r="L66" s="169">
        <f t="shared" ref="L66:L67" si="66">+I66*G66</f>
        <v>131393.78200000001</v>
      </c>
      <c r="M66" s="170">
        <f t="shared" si="61"/>
        <v>178042.46</v>
      </c>
      <c r="N66" s="165">
        <f t="shared" si="36"/>
        <v>1.5367199999999999</v>
      </c>
      <c r="O66" s="166">
        <f t="shared" si="36"/>
        <v>4.3284279999999997</v>
      </c>
      <c r="P66" s="167">
        <f t="shared" si="52"/>
        <v>5.86</v>
      </c>
      <c r="Q66" s="168">
        <f t="shared" si="53"/>
        <v>59738.299607999994</v>
      </c>
      <c r="R66" s="169">
        <f t="shared" si="54"/>
        <v>168262.87722920001</v>
      </c>
      <c r="S66" s="169">
        <f t="shared" si="55"/>
        <v>228001.17</v>
      </c>
      <c r="T66" s="161">
        <f t="shared" si="62"/>
        <v>9.0034116002337239E-2</v>
      </c>
    </row>
    <row r="67" spans="2:20" ht="38.25" x14ac:dyDescent="0.25">
      <c r="B67" s="162" t="s">
        <v>1387</v>
      </c>
      <c r="C67" s="160" t="s">
        <v>885</v>
      </c>
      <c r="D67" s="171" t="s">
        <v>875</v>
      </c>
      <c r="E67" s="163" t="s">
        <v>886</v>
      </c>
      <c r="F67" s="160" t="s">
        <v>877</v>
      </c>
      <c r="G67" s="164">
        <v>1803.9</v>
      </c>
      <c r="H67" s="165">
        <v>1.42</v>
      </c>
      <c r="I67" s="166">
        <v>4.93</v>
      </c>
      <c r="J67" s="167">
        <f t="shared" si="50"/>
        <v>6.35</v>
      </c>
      <c r="K67" s="168">
        <f t="shared" si="65"/>
        <v>2561.538</v>
      </c>
      <c r="L67" s="169">
        <f t="shared" si="66"/>
        <v>8893.2270000000008</v>
      </c>
      <c r="M67" s="170">
        <f t="shared" si="61"/>
        <v>11454.76</v>
      </c>
      <c r="N67" s="165">
        <f t="shared" si="36"/>
        <v>1.818452</v>
      </c>
      <c r="O67" s="166">
        <f t="shared" si="36"/>
        <v>6.3133579999999991</v>
      </c>
      <c r="P67" s="167">
        <f t="shared" si="52"/>
        <v>8.1300000000000008</v>
      </c>
      <c r="Q67" s="168">
        <f t="shared" si="53"/>
        <v>3280.3055628000002</v>
      </c>
      <c r="R67" s="169">
        <f t="shared" si="54"/>
        <v>11388.6664962</v>
      </c>
      <c r="S67" s="169">
        <f t="shared" si="55"/>
        <v>14668.97</v>
      </c>
      <c r="T67" s="161">
        <f t="shared" si="62"/>
        <v>5.7925481111119068E-3</v>
      </c>
    </row>
    <row r="68" spans="2:20" x14ac:dyDescent="0.25">
      <c r="B68" s="162"/>
      <c r="C68" s="160"/>
      <c r="D68" s="171"/>
      <c r="E68" s="163"/>
      <c r="F68" s="160"/>
      <c r="G68" s="164"/>
      <c r="H68" s="165"/>
      <c r="I68" s="166"/>
      <c r="J68" s="167"/>
      <c r="K68" s="168"/>
      <c r="L68" s="169"/>
      <c r="M68" s="170"/>
      <c r="N68" s="165"/>
      <c r="O68" s="166"/>
      <c r="P68" s="167"/>
      <c r="Q68" s="168"/>
      <c r="R68" s="169"/>
      <c r="S68" s="169"/>
      <c r="T68" s="161"/>
    </row>
    <row r="69" spans="2:20" x14ac:dyDescent="0.25">
      <c r="B69" s="327">
        <v>6</v>
      </c>
      <c r="C69" s="328"/>
      <c r="D69" s="328"/>
      <c r="E69" s="329" t="s">
        <v>887</v>
      </c>
      <c r="F69" s="330"/>
      <c r="G69" s="331"/>
      <c r="H69" s="332"/>
      <c r="I69" s="330"/>
      <c r="J69" s="333">
        <f t="shared" si="50"/>
        <v>0</v>
      </c>
      <c r="K69" s="391">
        <f>SUM(K70:K74)</f>
        <v>24038.776500000004</v>
      </c>
      <c r="L69" s="391">
        <f t="shared" ref="L69:M69" si="67">SUM(L70:L74)</f>
        <v>317031.6789</v>
      </c>
      <c r="M69" s="391">
        <f t="shared" si="67"/>
        <v>341070.45</v>
      </c>
      <c r="N69" s="396">
        <f t="shared" si="36"/>
        <v>0</v>
      </c>
      <c r="O69" s="350">
        <f t="shared" si="36"/>
        <v>0</v>
      </c>
      <c r="P69" s="351">
        <f t="shared" si="52"/>
        <v>0</v>
      </c>
      <c r="Q69" s="391">
        <f>SUM(Q70:Q74)</f>
        <v>30784.057185900001</v>
      </c>
      <c r="R69" s="391">
        <f>SUM(R70:R74)</f>
        <v>405990.76799934002</v>
      </c>
      <c r="S69" s="391">
        <f t="shared" ref="S69" si="68">SUM(S70:S74)</f>
        <v>436774.80000000005</v>
      </c>
      <c r="T69" s="334">
        <f>+S69/$S$212</f>
        <v>0.17247557549857157</v>
      </c>
    </row>
    <row r="70" spans="2:20" x14ac:dyDescent="0.25">
      <c r="B70" s="162" t="s">
        <v>637</v>
      </c>
      <c r="C70" s="160" t="s">
        <v>888</v>
      </c>
      <c r="D70" s="171" t="s">
        <v>214</v>
      </c>
      <c r="E70" s="163" t="s">
        <v>889</v>
      </c>
      <c r="F70" s="160" t="s">
        <v>22</v>
      </c>
      <c r="G70" s="164">
        <v>6</v>
      </c>
      <c r="H70" s="165">
        <v>101.49</v>
      </c>
      <c r="I70" s="166">
        <v>246.03</v>
      </c>
      <c r="J70" s="167">
        <f t="shared" si="50"/>
        <v>347.52</v>
      </c>
      <c r="K70" s="168">
        <f>+H70*G70</f>
        <v>608.93999999999994</v>
      </c>
      <c r="L70" s="169">
        <f>+I70*G70</f>
        <v>1476.18</v>
      </c>
      <c r="M70" s="170">
        <f t="shared" ref="M70:M104" si="69">TRUNC(SUM(K70:L70),2)</f>
        <v>2085.12</v>
      </c>
      <c r="N70" s="165">
        <f t="shared" si="36"/>
        <v>129.96809399999998</v>
      </c>
      <c r="O70" s="166">
        <f t="shared" si="36"/>
        <v>315.06601799999999</v>
      </c>
      <c r="P70" s="167">
        <f t="shared" si="52"/>
        <v>445.03</v>
      </c>
      <c r="Q70" s="168">
        <f t="shared" si="53"/>
        <v>779.80856399999993</v>
      </c>
      <c r="R70" s="169">
        <f t="shared" si="54"/>
        <v>1890.3961079999999</v>
      </c>
      <c r="S70" s="169">
        <f t="shared" si="55"/>
        <v>2670.2</v>
      </c>
      <c r="T70" s="161">
        <f t="shared" ref="T70:T74" si="70">+S70/$S$212</f>
        <v>1.0544204512171621E-3</v>
      </c>
    </row>
    <row r="71" spans="2:20" x14ac:dyDescent="0.25">
      <c r="B71" s="162" t="s">
        <v>641</v>
      </c>
      <c r="C71" s="160" t="s">
        <v>890</v>
      </c>
      <c r="D71" s="171" t="s">
        <v>214</v>
      </c>
      <c r="E71" s="163" t="s">
        <v>891</v>
      </c>
      <c r="F71" s="160" t="s">
        <v>22</v>
      </c>
      <c r="G71" s="164">
        <v>6</v>
      </c>
      <c r="H71" s="165">
        <v>6.96</v>
      </c>
      <c r="I71" s="166">
        <v>56.96</v>
      </c>
      <c r="J71" s="167">
        <f t="shared" si="50"/>
        <v>63.92</v>
      </c>
      <c r="K71" s="168">
        <f t="shared" ref="K71:K91" si="71">+H71*G71</f>
        <v>41.76</v>
      </c>
      <c r="L71" s="169">
        <f t="shared" ref="L71:L91" si="72">+I71*G71</f>
        <v>341.76</v>
      </c>
      <c r="M71" s="170">
        <f t="shared" si="69"/>
        <v>383.52</v>
      </c>
      <c r="N71" s="165">
        <f t="shared" si="36"/>
        <v>8.9129760000000005</v>
      </c>
      <c r="O71" s="166">
        <f t="shared" si="36"/>
        <v>72.942976000000002</v>
      </c>
      <c r="P71" s="167">
        <f t="shared" si="52"/>
        <v>81.849999999999994</v>
      </c>
      <c r="Q71" s="168">
        <f t="shared" si="53"/>
        <v>53.477856000000003</v>
      </c>
      <c r="R71" s="169">
        <f t="shared" si="54"/>
        <v>437.65785600000004</v>
      </c>
      <c r="S71" s="169">
        <f t="shared" si="55"/>
        <v>491.13</v>
      </c>
      <c r="T71" s="161">
        <f t="shared" si="70"/>
        <v>1.9393959860919963E-4</v>
      </c>
    </row>
    <row r="72" spans="2:20" x14ac:dyDescent="0.25">
      <c r="B72" s="162" t="s">
        <v>644</v>
      </c>
      <c r="C72" s="160" t="s">
        <v>892</v>
      </c>
      <c r="D72" s="171" t="s">
        <v>125</v>
      </c>
      <c r="E72" s="163" t="s">
        <v>1391</v>
      </c>
      <c r="F72" s="160" t="s">
        <v>35</v>
      </c>
      <c r="G72" s="164">
        <v>900</v>
      </c>
      <c r="H72" s="165">
        <v>14.53</v>
      </c>
      <c r="I72" s="166">
        <v>324.8</v>
      </c>
      <c r="J72" s="167">
        <f t="shared" si="50"/>
        <v>339.33</v>
      </c>
      <c r="K72" s="168">
        <f t="shared" si="71"/>
        <v>13077</v>
      </c>
      <c r="L72" s="169">
        <f t="shared" si="72"/>
        <v>292320</v>
      </c>
      <c r="M72" s="170">
        <f t="shared" si="69"/>
        <v>305397</v>
      </c>
      <c r="N72" s="165">
        <f t="shared" si="36"/>
        <v>18.607118</v>
      </c>
      <c r="O72" s="166">
        <f t="shared" si="36"/>
        <v>415.93887999999998</v>
      </c>
      <c r="P72" s="167">
        <f t="shared" si="52"/>
        <v>434.54</v>
      </c>
      <c r="Q72" s="168">
        <f t="shared" si="53"/>
        <v>16746.406200000001</v>
      </c>
      <c r="R72" s="169">
        <f t="shared" si="54"/>
        <v>374344.99199999997</v>
      </c>
      <c r="S72" s="169">
        <f t="shared" si="55"/>
        <v>391091.39</v>
      </c>
      <c r="T72" s="161">
        <f t="shared" si="70"/>
        <v>0.15443590738931434</v>
      </c>
    </row>
    <row r="73" spans="2:20" x14ac:dyDescent="0.25">
      <c r="B73" s="162" t="s">
        <v>1510</v>
      </c>
      <c r="C73" s="160" t="s">
        <v>1508</v>
      </c>
      <c r="D73" s="171" t="s">
        <v>214</v>
      </c>
      <c r="E73" s="163" t="s">
        <v>1509</v>
      </c>
      <c r="F73" s="160" t="s">
        <v>2</v>
      </c>
      <c r="G73" s="164">
        <v>170.22</v>
      </c>
      <c r="H73" s="165">
        <v>54.75</v>
      </c>
      <c r="I73" s="166">
        <v>94.27</v>
      </c>
      <c r="J73" s="167">
        <f t="shared" si="50"/>
        <v>149.02000000000001</v>
      </c>
      <c r="K73" s="168">
        <f t="shared" si="71"/>
        <v>9319.5450000000001</v>
      </c>
      <c r="L73" s="169">
        <f t="shared" si="72"/>
        <v>16046.6394</v>
      </c>
      <c r="M73" s="170">
        <f t="shared" si="69"/>
        <v>25366.18</v>
      </c>
      <c r="N73" s="165">
        <f t="shared" si="36"/>
        <v>70.112849999999995</v>
      </c>
      <c r="O73" s="166">
        <f t="shared" si="36"/>
        <v>120.722162</v>
      </c>
      <c r="P73" s="167">
        <f t="shared" si="52"/>
        <v>190.83</v>
      </c>
      <c r="Q73" s="168">
        <f t="shared" si="53"/>
        <v>11934.609326999998</v>
      </c>
      <c r="R73" s="169">
        <f t="shared" si="54"/>
        <v>20549.32641564</v>
      </c>
      <c r="S73" s="169">
        <f t="shared" si="55"/>
        <v>32483.93</v>
      </c>
      <c r="T73" s="161">
        <f t="shared" si="70"/>
        <v>1.2827398744628384E-2</v>
      </c>
    </row>
    <row r="74" spans="2:20" ht="25.5" x14ac:dyDescent="0.25">
      <c r="B74" s="162" t="s">
        <v>1518</v>
      </c>
      <c r="C74" s="160" t="s">
        <v>1516</v>
      </c>
      <c r="D74" s="171" t="s">
        <v>31</v>
      </c>
      <c r="E74" s="163" t="s">
        <v>1517</v>
      </c>
      <c r="F74" s="160" t="s">
        <v>2</v>
      </c>
      <c r="G74" s="164">
        <v>425.55</v>
      </c>
      <c r="H74" s="165">
        <v>2.33</v>
      </c>
      <c r="I74" s="166">
        <v>16.09</v>
      </c>
      <c r="J74" s="167">
        <f t="shared" si="50"/>
        <v>18.420000000000002</v>
      </c>
      <c r="K74" s="168">
        <f t="shared" si="71"/>
        <v>991.53150000000005</v>
      </c>
      <c r="L74" s="169">
        <f t="shared" si="72"/>
        <v>6847.0995000000003</v>
      </c>
      <c r="M74" s="170">
        <f t="shared" si="69"/>
        <v>7838.63</v>
      </c>
      <c r="N74" s="165">
        <f t="shared" si="36"/>
        <v>2.9837980000000002</v>
      </c>
      <c r="O74" s="166">
        <f t="shared" si="36"/>
        <v>20.604854</v>
      </c>
      <c r="P74" s="167">
        <f t="shared" si="52"/>
        <v>23.58</v>
      </c>
      <c r="Q74" s="168">
        <f t="shared" si="53"/>
        <v>1269.7552389</v>
      </c>
      <c r="R74" s="169">
        <f t="shared" si="54"/>
        <v>8768.3956197000007</v>
      </c>
      <c r="S74" s="169">
        <f t="shared" si="55"/>
        <v>10038.15</v>
      </c>
      <c r="T74" s="161">
        <f t="shared" si="70"/>
        <v>3.9639093148024704E-3</v>
      </c>
    </row>
    <row r="75" spans="2:20" x14ac:dyDescent="0.25">
      <c r="B75" s="162"/>
      <c r="C75" s="160"/>
      <c r="D75" s="171"/>
      <c r="E75" s="163"/>
      <c r="F75" s="160"/>
      <c r="G75" s="164"/>
      <c r="H75" s="165"/>
      <c r="I75" s="166"/>
      <c r="J75" s="167"/>
      <c r="K75" s="168"/>
      <c r="L75" s="168"/>
      <c r="M75" s="426"/>
      <c r="N75" s="165"/>
      <c r="O75" s="166"/>
      <c r="P75" s="167"/>
      <c r="Q75" s="168"/>
      <c r="R75" s="168"/>
      <c r="S75" s="168"/>
      <c r="T75" s="161"/>
    </row>
    <row r="76" spans="2:20" x14ac:dyDescent="0.25">
      <c r="B76" s="327">
        <v>7</v>
      </c>
      <c r="C76" s="328"/>
      <c r="D76" s="328"/>
      <c r="E76" s="329" t="s">
        <v>451</v>
      </c>
      <c r="F76" s="330"/>
      <c r="G76" s="331"/>
      <c r="H76" s="332"/>
      <c r="I76" s="330"/>
      <c r="J76" s="333">
        <f t="shared" si="50"/>
        <v>0</v>
      </c>
      <c r="K76" s="391">
        <f>SUM(K77:K86)</f>
        <v>12444.95</v>
      </c>
      <c r="L76" s="391">
        <f>SUM(L77:L86)</f>
        <v>16321.79</v>
      </c>
      <c r="M76" s="391">
        <f>SUM(M77:M86)</f>
        <v>28766.739999999998</v>
      </c>
      <c r="N76" s="396">
        <f t="shared" si="36"/>
        <v>0</v>
      </c>
      <c r="O76" s="350">
        <f t="shared" si="36"/>
        <v>0</v>
      </c>
      <c r="P76" s="351">
        <f t="shared" si="52"/>
        <v>0</v>
      </c>
      <c r="Q76" s="391">
        <f>SUM(Q77:Q86)</f>
        <v>15937.00297</v>
      </c>
      <c r="R76" s="391">
        <f>SUM(R77:R86)</f>
        <v>20901.684273999999</v>
      </c>
      <c r="S76" s="391">
        <f>SUM(S77:S86)</f>
        <v>36838.629999999997</v>
      </c>
      <c r="T76" s="334">
        <f>+S76/$S$212</f>
        <v>1.4547002047345549E-2</v>
      </c>
    </row>
    <row r="77" spans="2:20" ht="38.25" x14ac:dyDescent="0.25">
      <c r="B77" s="162" t="s">
        <v>1450</v>
      </c>
      <c r="C77" s="160">
        <v>92029</v>
      </c>
      <c r="D77" s="171" t="s">
        <v>31</v>
      </c>
      <c r="E77" s="163" t="s">
        <v>899</v>
      </c>
      <c r="F77" s="160" t="s">
        <v>22</v>
      </c>
      <c r="G77" s="164">
        <v>4</v>
      </c>
      <c r="H77" s="165">
        <v>25.86</v>
      </c>
      <c r="I77" s="166">
        <v>41.51</v>
      </c>
      <c r="J77" s="167">
        <f t="shared" si="50"/>
        <v>67.37</v>
      </c>
      <c r="K77" s="168">
        <f t="shared" si="71"/>
        <v>103.44</v>
      </c>
      <c r="L77" s="169">
        <f t="shared" si="72"/>
        <v>166.04</v>
      </c>
      <c r="M77" s="170">
        <f t="shared" si="69"/>
        <v>269.48</v>
      </c>
      <c r="N77" s="165">
        <f t="shared" si="36"/>
        <v>33.116315999999998</v>
      </c>
      <c r="O77" s="166">
        <f t="shared" si="36"/>
        <v>53.157705999999997</v>
      </c>
      <c r="P77" s="167">
        <f t="shared" si="52"/>
        <v>86.27</v>
      </c>
      <c r="Q77" s="168">
        <f t="shared" si="53"/>
        <v>132.46526399999999</v>
      </c>
      <c r="R77" s="169">
        <f t="shared" si="54"/>
        <v>212.63082399999999</v>
      </c>
      <c r="S77" s="169">
        <f t="shared" si="55"/>
        <v>345.09</v>
      </c>
      <c r="T77" s="161">
        <f t="shared" ref="T77:T86" si="73">+S77/$S$212</f>
        <v>1.3627067392350028E-4</v>
      </c>
    </row>
    <row r="78" spans="2:20" ht="25.5" x14ac:dyDescent="0.25">
      <c r="B78" s="162" t="s">
        <v>1451</v>
      </c>
      <c r="C78" s="160">
        <v>91969</v>
      </c>
      <c r="D78" s="171" t="s">
        <v>31</v>
      </c>
      <c r="E78" s="163" t="s">
        <v>764</v>
      </c>
      <c r="F78" s="160" t="s">
        <v>22</v>
      </c>
      <c r="G78" s="164">
        <v>2</v>
      </c>
      <c r="H78" s="165">
        <v>16.079999999999998</v>
      </c>
      <c r="I78" s="166">
        <v>25.42</v>
      </c>
      <c r="J78" s="167">
        <f t="shared" si="50"/>
        <v>41.5</v>
      </c>
      <c r="K78" s="168">
        <f t="shared" si="71"/>
        <v>32.159999999999997</v>
      </c>
      <c r="L78" s="169">
        <f t="shared" si="72"/>
        <v>50.84</v>
      </c>
      <c r="M78" s="170">
        <f t="shared" si="69"/>
        <v>83</v>
      </c>
      <c r="N78" s="165">
        <f t="shared" si="36"/>
        <v>20.592047999999998</v>
      </c>
      <c r="O78" s="166">
        <f t="shared" si="36"/>
        <v>32.552852000000001</v>
      </c>
      <c r="P78" s="167">
        <f t="shared" si="52"/>
        <v>53.14</v>
      </c>
      <c r="Q78" s="168">
        <f t="shared" si="53"/>
        <v>41.184095999999997</v>
      </c>
      <c r="R78" s="169">
        <f t="shared" si="54"/>
        <v>65.105704000000003</v>
      </c>
      <c r="S78" s="169">
        <f t="shared" si="55"/>
        <v>106.28</v>
      </c>
      <c r="T78" s="161">
        <f t="shared" si="73"/>
        <v>4.1968319060504832E-5</v>
      </c>
    </row>
    <row r="79" spans="2:20" ht="38.25" x14ac:dyDescent="0.25">
      <c r="B79" s="162" t="s">
        <v>1452</v>
      </c>
      <c r="C79" s="160" t="s">
        <v>900</v>
      </c>
      <c r="D79" s="171" t="s">
        <v>31</v>
      </c>
      <c r="E79" s="163" t="s">
        <v>901</v>
      </c>
      <c r="F79" s="160" t="s">
        <v>22</v>
      </c>
      <c r="G79" s="164">
        <v>149</v>
      </c>
      <c r="H79" s="165">
        <v>13.65</v>
      </c>
      <c r="I79" s="166">
        <v>23.52</v>
      </c>
      <c r="J79" s="167">
        <f t="shared" si="50"/>
        <v>37.17</v>
      </c>
      <c r="K79" s="168">
        <f t="shared" si="71"/>
        <v>2033.8500000000001</v>
      </c>
      <c r="L79" s="169">
        <f t="shared" si="72"/>
        <v>3504.48</v>
      </c>
      <c r="M79" s="170">
        <f t="shared" si="69"/>
        <v>5538.33</v>
      </c>
      <c r="N79" s="165">
        <f t="shared" si="36"/>
        <v>17.48019</v>
      </c>
      <c r="O79" s="166">
        <f t="shared" si="36"/>
        <v>30.119712</v>
      </c>
      <c r="P79" s="167">
        <f t="shared" si="52"/>
        <v>47.59</v>
      </c>
      <c r="Q79" s="168">
        <f t="shared" si="53"/>
        <v>2604.5483100000001</v>
      </c>
      <c r="R79" s="169">
        <f t="shared" si="54"/>
        <v>4487.8370880000002</v>
      </c>
      <c r="S79" s="169">
        <f t="shared" si="55"/>
        <v>7092.38</v>
      </c>
      <c r="T79" s="161">
        <f t="shared" si="73"/>
        <v>2.8006705564390597E-3</v>
      </c>
    </row>
    <row r="80" spans="2:20" ht="25.5" x14ac:dyDescent="0.25">
      <c r="B80" s="162" t="s">
        <v>893</v>
      </c>
      <c r="C80" s="160" t="s">
        <v>305</v>
      </c>
      <c r="D80" s="171" t="s">
        <v>31</v>
      </c>
      <c r="E80" s="163" t="s">
        <v>306</v>
      </c>
      <c r="F80" s="160" t="s">
        <v>22</v>
      </c>
      <c r="G80" s="164">
        <v>18</v>
      </c>
      <c r="H80" s="165">
        <v>18.54</v>
      </c>
      <c r="I80" s="166">
        <v>32.36</v>
      </c>
      <c r="J80" s="167">
        <f t="shared" si="50"/>
        <v>50.9</v>
      </c>
      <c r="K80" s="168">
        <f t="shared" si="71"/>
        <v>333.71999999999997</v>
      </c>
      <c r="L80" s="169">
        <f t="shared" si="72"/>
        <v>582.48</v>
      </c>
      <c r="M80" s="170">
        <f t="shared" si="69"/>
        <v>916.2</v>
      </c>
      <c r="N80" s="165">
        <f t="shared" si="36"/>
        <v>23.742323999999996</v>
      </c>
      <c r="O80" s="166">
        <f t="shared" si="36"/>
        <v>41.440215999999999</v>
      </c>
      <c r="P80" s="167">
        <f t="shared" si="52"/>
        <v>65.180000000000007</v>
      </c>
      <c r="Q80" s="168">
        <f t="shared" si="53"/>
        <v>427.36183199999994</v>
      </c>
      <c r="R80" s="169">
        <f t="shared" si="54"/>
        <v>745.92388800000003</v>
      </c>
      <c r="S80" s="169">
        <f t="shared" si="55"/>
        <v>1173.28</v>
      </c>
      <c r="T80" s="161">
        <f t="shared" si="73"/>
        <v>4.6331002434427083E-4</v>
      </c>
    </row>
    <row r="81" spans="2:20" ht="25.5" x14ac:dyDescent="0.25">
      <c r="B81" s="162" t="s">
        <v>894</v>
      </c>
      <c r="C81" s="160" t="s">
        <v>761</v>
      </c>
      <c r="D81" s="171" t="s">
        <v>31</v>
      </c>
      <c r="E81" s="163" t="s">
        <v>762</v>
      </c>
      <c r="F81" s="160" t="s">
        <v>22</v>
      </c>
      <c r="G81" s="164">
        <v>5</v>
      </c>
      <c r="H81" s="165">
        <v>4.4000000000000004</v>
      </c>
      <c r="I81" s="166">
        <v>11.86</v>
      </c>
      <c r="J81" s="167">
        <f t="shared" si="50"/>
        <v>16.260000000000002</v>
      </c>
      <c r="K81" s="168">
        <f t="shared" si="71"/>
        <v>22</v>
      </c>
      <c r="L81" s="169">
        <f t="shared" si="72"/>
        <v>59.3</v>
      </c>
      <c r="M81" s="170">
        <f t="shared" si="69"/>
        <v>81.3</v>
      </c>
      <c r="N81" s="165">
        <f t="shared" si="36"/>
        <v>5.6346400000000001</v>
      </c>
      <c r="O81" s="166">
        <f t="shared" si="36"/>
        <v>15.187916</v>
      </c>
      <c r="P81" s="167">
        <f t="shared" si="52"/>
        <v>20.82</v>
      </c>
      <c r="Q81" s="168">
        <f t="shared" si="53"/>
        <v>28.173200000000001</v>
      </c>
      <c r="R81" s="169">
        <f t="shared" si="54"/>
        <v>75.939579999999992</v>
      </c>
      <c r="S81" s="169">
        <f t="shared" si="55"/>
        <v>104.11</v>
      </c>
      <c r="T81" s="161">
        <f t="shared" si="73"/>
        <v>4.1111419809834004E-5</v>
      </c>
    </row>
    <row r="82" spans="2:20" ht="38.25" x14ac:dyDescent="0.25">
      <c r="B82" s="162" t="s">
        <v>895</v>
      </c>
      <c r="C82" s="160" t="s">
        <v>902</v>
      </c>
      <c r="D82" s="171" t="s">
        <v>875</v>
      </c>
      <c r="E82" s="163" t="s">
        <v>903</v>
      </c>
      <c r="F82" s="160" t="s">
        <v>227</v>
      </c>
      <c r="G82" s="164">
        <v>3</v>
      </c>
      <c r="H82" s="165">
        <v>8.92</v>
      </c>
      <c r="I82" s="166">
        <v>5.64</v>
      </c>
      <c r="J82" s="167">
        <f t="shared" ref="J82:J84" si="74">TRUNC(SUM(H82:I82),2)</f>
        <v>14.56</v>
      </c>
      <c r="K82" s="168">
        <f t="shared" si="71"/>
        <v>26.759999999999998</v>
      </c>
      <c r="L82" s="169">
        <f t="shared" si="72"/>
        <v>16.919999999999998</v>
      </c>
      <c r="M82" s="170">
        <f t="shared" si="69"/>
        <v>43.68</v>
      </c>
      <c r="N82" s="165">
        <f t="shared" si="36"/>
        <v>11.422952</v>
      </c>
      <c r="O82" s="166">
        <f t="shared" si="36"/>
        <v>7.2225839999999994</v>
      </c>
      <c r="P82" s="167">
        <f t="shared" ref="P82:P86" si="75">TRUNC(SUM(N82:O82),2)</f>
        <v>18.64</v>
      </c>
      <c r="Q82" s="168">
        <f t="shared" si="53"/>
        <v>34.268856</v>
      </c>
      <c r="R82" s="169">
        <f t="shared" si="54"/>
        <v>21.667752</v>
      </c>
      <c r="S82" s="169">
        <f t="shared" si="55"/>
        <v>55.93</v>
      </c>
      <c r="T82" s="161">
        <f t="shared" si="73"/>
        <v>2.2085887138257762E-5</v>
      </c>
    </row>
    <row r="83" spans="2:20" ht="25.5" x14ac:dyDescent="0.25">
      <c r="B83" s="162" t="s">
        <v>896</v>
      </c>
      <c r="C83" s="160" t="s">
        <v>904</v>
      </c>
      <c r="D83" s="171" t="s">
        <v>905</v>
      </c>
      <c r="E83" s="163" t="s">
        <v>1388</v>
      </c>
      <c r="F83" s="160" t="s">
        <v>847</v>
      </c>
      <c r="G83" s="164">
        <v>478</v>
      </c>
      <c r="H83" s="165">
        <v>9.85</v>
      </c>
      <c r="I83" s="166">
        <v>10.96</v>
      </c>
      <c r="J83" s="167">
        <f t="shared" si="74"/>
        <v>20.81</v>
      </c>
      <c r="K83" s="168">
        <f t="shared" si="71"/>
        <v>4708.3</v>
      </c>
      <c r="L83" s="169">
        <f t="shared" si="72"/>
        <v>5238.88</v>
      </c>
      <c r="M83" s="170">
        <f t="shared" si="69"/>
        <v>9947.18</v>
      </c>
      <c r="N83" s="165">
        <f t="shared" si="36"/>
        <v>12.613909999999999</v>
      </c>
      <c r="O83" s="166">
        <f t="shared" si="36"/>
        <v>14.035376000000001</v>
      </c>
      <c r="P83" s="167">
        <f t="shared" si="75"/>
        <v>26.64</v>
      </c>
      <c r="Q83" s="168">
        <f t="shared" si="53"/>
        <v>6029.4489799999992</v>
      </c>
      <c r="R83" s="169">
        <f t="shared" si="54"/>
        <v>6708.9097280000005</v>
      </c>
      <c r="S83" s="169">
        <f t="shared" si="55"/>
        <v>12738.35</v>
      </c>
      <c r="T83" s="161">
        <f t="shared" si="73"/>
        <v>5.0301762994390447E-3</v>
      </c>
    </row>
    <row r="84" spans="2:20" ht="25.5" x14ac:dyDescent="0.25">
      <c r="B84" s="162" t="s">
        <v>897</v>
      </c>
      <c r="C84" s="160" t="s">
        <v>907</v>
      </c>
      <c r="D84" s="171" t="s">
        <v>905</v>
      </c>
      <c r="E84" s="163" t="s">
        <v>1389</v>
      </c>
      <c r="F84" s="160" t="s">
        <v>227</v>
      </c>
      <c r="G84" s="164">
        <v>370</v>
      </c>
      <c r="H84" s="165">
        <v>8.92</v>
      </c>
      <c r="I84" s="166">
        <v>9.77</v>
      </c>
      <c r="J84" s="167">
        <f t="shared" si="74"/>
        <v>18.690000000000001</v>
      </c>
      <c r="K84" s="168">
        <f t="shared" si="71"/>
        <v>3300.4</v>
      </c>
      <c r="L84" s="169">
        <f t="shared" si="72"/>
        <v>3614.8999999999996</v>
      </c>
      <c r="M84" s="170">
        <f t="shared" si="69"/>
        <v>6915.3</v>
      </c>
      <c r="N84" s="165">
        <f t="shared" si="36"/>
        <v>11.422952</v>
      </c>
      <c r="O84" s="166">
        <f t="shared" si="36"/>
        <v>12.511462</v>
      </c>
      <c r="P84" s="167">
        <f t="shared" si="75"/>
        <v>23.93</v>
      </c>
      <c r="Q84" s="168">
        <f t="shared" si="53"/>
        <v>4226.4922400000005</v>
      </c>
      <c r="R84" s="169">
        <f t="shared" si="54"/>
        <v>4629.2409399999997</v>
      </c>
      <c r="S84" s="169">
        <f t="shared" si="55"/>
        <v>8855.73</v>
      </c>
      <c r="T84" s="161">
        <f t="shared" si="73"/>
        <v>3.4969900466097518E-3</v>
      </c>
    </row>
    <row r="85" spans="2:20" ht="38.25" x14ac:dyDescent="0.25">
      <c r="B85" s="162" t="s">
        <v>1453</v>
      </c>
      <c r="C85" s="160">
        <v>91963</v>
      </c>
      <c r="D85" s="171" t="s">
        <v>31</v>
      </c>
      <c r="E85" s="163" t="s">
        <v>1285</v>
      </c>
      <c r="F85" s="160" t="s">
        <v>22</v>
      </c>
      <c r="G85" s="164">
        <v>78</v>
      </c>
      <c r="H85" s="165">
        <v>23.44</v>
      </c>
      <c r="I85" s="166">
        <v>38.450000000000003</v>
      </c>
      <c r="J85" s="167">
        <f t="shared" ref="J85:J86" si="76">TRUNC(SUM(H85:I85),2)</f>
        <v>61.89</v>
      </c>
      <c r="K85" s="168">
        <f t="shared" si="71"/>
        <v>1828.3200000000002</v>
      </c>
      <c r="L85" s="169">
        <f t="shared" si="72"/>
        <v>2999.1000000000004</v>
      </c>
      <c r="M85" s="170">
        <f t="shared" si="69"/>
        <v>4827.42</v>
      </c>
      <c r="N85" s="165">
        <f t="shared" si="36"/>
        <v>30.017264000000001</v>
      </c>
      <c r="O85" s="166">
        <f t="shared" si="36"/>
        <v>49.239070000000005</v>
      </c>
      <c r="P85" s="167">
        <f t="shared" si="75"/>
        <v>79.25</v>
      </c>
      <c r="Q85" s="168">
        <f t="shared" si="53"/>
        <v>2341.3465919999999</v>
      </c>
      <c r="R85" s="169">
        <f t="shared" si="54"/>
        <v>3840.6474600000006</v>
      </c>
      <c r="S85" s="169">
        <f t="shared" si="55"/>
        <v>6181.99</v>
      </c>
      <c r="T85" s="161">
        <f t="shared" si="73"/>
        <v>2.4411717044490991E-3</v>
      </c>
    </row>
    <row r="86" spans="2:20" ht="25.5" x14ac:dyDescent="0.25">
      <c r="B86" s="162" t="s">
        <v>1454</v>
      </c>
      <c r="C86" s="160" t="s">
        <v>1286</v>
      </c>
      <c r="D86" s="171" t="s">
        <v>31</v>
      </c>
      <c r="E86" s="163" t="s">
        <v>1287</v>
      </c>
      <c r="F86" s="160" t="s">
        <v>22</v>
      </c>
      <c r="G86" s="164">
        <v>5</v>
      </c>
      <c r="H86" s="165">
        <v>11.2</v>
      </c>
      <c r="I86" s="166">
        <v>17.77</v>
      </c>
      <c r="J86" s="167">
        <f t="shared" si="76"/>
        <v>28.97</v>
      </c>
      <c r="K86" s="168">
        <f t="shared" si="71"/>
        <v>56</v>
      </c>
      <c r="L86" s="169">
        <f t="shared" si="72"/>
        <v>88.85</v>
      </c>
      <c r="M86" s="170">
        <f t="shared" si="69"/>
        <v>144.85</v>
      </c>
      <c r="N86" s="165">
        <f t="shared" si="36"/>
        <v>14.342719999999998</v>
      </c>
      <c r="O86" s="166">
        <f t="shared" si="36"/>
        <v>22.756262</v>
      </c>
      <c r="P86" s="167">
        <f t="shared" si="75"/>
        <v>37.090000000000003</v>
      </c>
      <c r="Q86" s="168">
        <f t="shared" si="53"/>
        <v>71.713599999999985</v>
      </c>
      <c r="R86" s="169">
        <f t="shared" si="54"/>
        <v>113.78130999999999</v>
      </c>
      <c r="S86" s="169">
        <f t="shared" si="55"/>
        <v>185.49</v>
      </c>
      <c r="T86" s="161">
        <f t="shared" si="73"/>
        <v>7.3247116132226582E-5</v>
      </c>
    </row>
    <row r="87" spans="2:20" x14ac:dyDescent="0.25">
      <c r="B87" s="162"/>
      <c r="C87" s="160"/>
      <c r="D87" s="171"/>
      <c r="E87" s="163"/>
      <c r="F87" s="160"/>
      <c r="G87" s="164"/>
      <c r="H87" s="165"/>
      <c r="I87" s="166"/>
      <c r="J87" s="167"/>
      <c r="K87" s="168"/>
      <c r="L87" s="169"/>
      <c r="M87" s="170"/>
      <c r="N87" s="165"/>
      <c r="O87" s="166"/>
      <c r="P87" s="167"/>
      <c r="Q87" s="168"/>
      <c r="R87" s="169"/>
      <c r="S87" s="169"/>
      <c r="T87" s="161"/>
    </row>
    <row r="88" spans="2:20" x14ac:dyDescent="0.25">
      <c r="B88" s="327">
        <v>8</v>
      </c>
      <c r="C88" s="328"/>
      <c r="D88" s="328"/>
      <c r="E88" s="329" t="s">
        <v>909</v>
      </c>
      <c r="F88" s="330"/>
      <c r="G88" s="331"/>
      <c r="H88" s="332"/>
      <c r="I88" s="330"/>
      <c r="J88" s="333">
        <f t="shared" ref="J88" si="77">TRUNC(SUM(H88:I88),2)</f>
        <v>0</v>
      </c>
      <c r="K88" s="391">
        <f t="shared" ref="K88:L88" si="78">SUM(K89:K103)</f>
        <v>9420.2799999999988</v>
      </c>
      <c r="L88" s="391">
        <f t="shared" si="78"/>
        <v>31184.549999999996</v>
      </c>
      <c r="M88" s="391">
        <f>SUM(M89:M103)</f>
        <v>40604.83</v>
      </c>
      <c r="N88" s="396">
        <f t="shared" si="36"/>
        <v>0</v>
      </c>
      <c r="O88" s="350">
        <f t="shared" si="36"/>
        <v>0</v>
      </c>
      <c r="P88" s="351">
        <f t="shared" ref="P88" si="79">TRUNC(SUM(N88:O88),2)</f>
        <v>0</v>
      </c>
      <c r="Q88" s="391">
        <f t="shared" ref="Q88" si="80">SUM(Q89:Q103)</f>
        <v>12063.610568</v>
      </c>
      <c r="R88" s="391">
        <f t="shared" ref="R88" si="81">SUM(R89:R103)</f>
        <v>39934.934730000001</v>
      </c>
      <c r="S88" s="391">
        <f>SUM(S89:S103)</f>
        <v>51998.460000000006</v>
      </c>
      <c r="T88" s="334">
        <f>+S88/$S$212</f>
        <v>2.0533383138265884E-2</v>
      </c>
    </row>
    <row r="89" spans="2:20" x14ac:dyDescent="0.25">
      <c r="B89" s="162" t="s">
        <v>910</v>
      </c>
      <c r="C89" s="160" t="s">
        <v>925</v>
      </c>
      <c r="D89" s="171" t="s">
        <v>875</v>
      </c>
      <c r="E89" s="163" t="s">
        <v>926</v>
      </c>
      <c r="F89" s="160" t="s">
        <v>227</v>
      </c>
      <c r="G89" s="164">
        <v>6</v>
      </c>
      <c r="H89" s="165">
        <v>34.94</v>
      </c>
      <c r="I89" s="166">
        <v>57.68</v>
      </c>
      <c r="J89" s="167">
        <f t="shared" si="50"/>
        <v>92.62</v>
      </c>
      <c r="K89" s="168">
        <f t="shared" si="71"/>
        <v>209.64</v>
      </c>
      <c r="L89" s="169">
        <f t="shared" si="72"/>
        <v>346.08</v>
      </c>
      <c r="M89" s="170">
        <f t="shared" si="69"/>
        <v>555.72</v>
      </c>
      <c r="N89" s="165">
        <f t="shared" si="36"/>
        <v>44.744163999999998</v>
      </c>
      <c r="O89" s="166">
        <f t="shared" si="36"/>
        <v>73.865008000000003</v>
      </c>
      <c r="P89" s="167">
        <f t="shared" si="52"/>
        <v>118.6</v>
      </c>
      <c r="Q89" s="168">
        <f t="shared" si="53"/>
        <v>268.46498399999996</v>
      </c>
      <c r="R89" s="169">
        <f t="shared" si="54"/>
        <v>443.19004800000005</v>
      </c>
      <c r="S89" s="169">
        <f t="shared" si="55"/>
        <v>711.65</v>
      </c>
      <c r="T89" s="161">
        <f t="shared" ref="T89:T103" si="82">+S89/$S$212</f>
        <v>2.8101951693082668E-4</v>
      </c>
    </row>
    <row r="90" spans="2:20" x14ac:dyDescent="0.25">
      <c r="B90" s="162" t="s">
        <v>911</v>
      </c>
      <c r="C90" s="160" t="s">
        <v>927</v>
      </c>
      <c r="D90" s="171" t="s">
        <v>875</v>
      </c>
      <c r="E90" s="163" t="s">
        <v>928</v>
      </c>
      <c r="F90" s="160" t="s">
        <v>227</v>
      </c>
      <c r="G90" s="164">
        <v>2</v>
      </c>
      <c r="H90" s="165">
        <v>34.94</v>
      </c>
      <c r="I90" s="166">
        <v>80.44</v>
      </c>
      <c r="J90" s="167">
        <f t="shared" si="50"/>
        <v>115.38</v>
      </c>
      <c r="K90" s="168">
        <f t="shared" si="71"/>
        <v>69.88</v>
      </c>
      <c r="L90" s="169">
        <f t="shared" si="72"/>
        <v>160.88</v>
      </c>
      <c r="M90" s="170">
        <f t="shared" si="69"/>
        <v>230.76</v>
      </c>
      <c r="N90" s="165">
        <f t="shared" si="36"/>
        <v>44.744163999999998</v>
      </c>
      <c r="O90" s="166">
        <f t="shared" si="36"/>
        <v>103.01146399999999</v>
      </c>
      <c r="P90" s="167">
        <f t="shared" si="52"/>
        <v>147.75</v>
      </c>
      <c r="Q90" s="168">
        <f t="shared" si="53"/>
        <v>89.488327999999996</v>
      </c>
      <c r="R90" s="169">
        <f t="shared" si="54"/>
        <v>206.02292799999998</v>
      </c>
      <c r="S90" s="169">
        <f t="shared" si="55"/>
        <v>295.51</v>
      </c>
      <c r="T90" s="161">
        <f t="shared" si="82"/>
        <v>1.1669230302568481E-4</v>
      </c>
    </row>
    <row r="91" spans="2:20" x14ac:dyDescent="0.25">
      <c r="B91" s="162" t="s">
        <v>912</v>
      </c>
      <c r="C91" s="160" t="s">
        <v>929</v>
      </c>
      <c r="D91" s="171" t="s">
        <v>214</v>
      </c>
      <c r="E91" s="163" t="s">
        <v>930</v>
      </c>
      <c r="F91" s="160" t="s">
        <v>22</v>
      </c>
      <c r="G91" s="164">
        <v>8</v>
      </c>
      <c r="H91" s="165">
        <v>12.21</v>
      </c>
      <c r="I91" s="166">
        <v>61.4</v>
      </c>
      <c r="J91" s="167">
        <f t="shared" si="50"/>
        <v>73.61</v>
      </c>
      <c r="K91" s="168">
        <f t="shared" si="71"/>
        <v>97.68</v>
      </c>
      <c r="L91" s="169">
        <f t="shared" si="72"/>
        <v>491.2</v>
      </c>
      <c r="M91" s="170">
        <f t="shared" si="69"/>
        <v>588.88</v>
      </c>
      <c r="N91" s="165">
        <f t="shared" si="36"/>
        <v>15.636126000000001</v>
      </c>
      <c r="O91" s="166">
        <f t="shared" si="36"/>
        <v>78.628839999999997</v>
      </c>
      <c r="P91" s="167">
        <f t="shared" si="52"/>
        <v>94.26</v>
      </c>
      <c r="Q91" s="168">
        <f t="shared" si="53"/>
        <v>125.08900800000001</v>
      </c>
      <c r="R91" s="169">
        <f t="shared" si="54"/>
        <v>629.03071999999997</v>
      </c>
      <c r="S91" s="169">
        <f t="shared" si="55"/>
        <v>754.11</v>
      </c>
      <c r="T91" s="161">
        <f t="shared" si="82"/>
        <v>2.977863105637683E-4</v>
      </c>
    </row>
    <row r="92" spans="2:20" x14ac:dyDescent="0.25">
      <c r="B92" s="162" t="s">
        <v>913</v>
      </c>
      <c r="C92" s="160" t="s">
        <v>931</v>
      </c>
      <c r="D92" s="171" t="s">
        <v>875</v>
      </c>
      <c r="E92" s="163" t="s">
        <v>932</v>
      </c>
      <c r="F92" s="160" t="s">
        <v>227</v>
      </c>
      <c r="G92" s="164">
        <v>3</v>
      </c>
      <c r="H92" s="165">
        <v>34.94</v>
      </c>
      <c r="I92" s="166">
        <v>57.68</v>
      </c>
      <c r="J92" s="167">
        <f t="shared" si="50"/>
        <v>92.62</v>
      </c>
      <c r="K92" s="168">
        <f>+H92*G92</f>
        <v>104.82</v>
      </c>
      <c r="L92" s="169">
        <f>+I92*G92</f>
        <v>173.04</v>
      </c>
      <c r="M92" s="170">
        <f t="shared" si="69"/>
        <v>277.86</v>
      </c>
      <c r="N92" s="165">
        <f t="shared" si="36"/>
        <v>44.744163999999998</v>
      </c>
      <c r="O92" s="166">
        <f t="shared" si="36"/>
        <v>73.865008000000003</v>
      </c>
      <c r="P92" s="167">
        <f t="shared" si="52"/>
        <v>118.6</v>
      </c>
      <c r="Q92" s="168">
        <f t="shared" si="53"/>
        <v>134.23249199999998</v>
      </c>
      <c r="R92" s="169">
        <f t="shared" si="54"/>
        <v>221.59502400000002</v>
      </c>
      <c r="S92" s="169">
        <f t="shared" si="55"/>
        <v>355.82</v>
      </c>
      <c r="T92" s="161">
        <f t="shared" si="82"/>
        <v>1.4050778404317677E-4</v>
      </c>
    </row>
    <row r="93" spans="2:20" ht="25.5" x14ac:dyDescent="0.25">
      <c r="B93" s="162" t="s">
        <v>914</v>
      </c>
      <c r="C93" s="160" t="s">
        <v>757</v>
      </c>
      <c r="D93" s="171" t="s">
        <v>31</v>
      </c>
      <c r="E93" s="163" t="s">
        <v>758</v>
      </c>
      <c r="F93" s="160" t="s">
        <v>22</v>
      </c>
      <c r="G93" s="164">
        <v>10</v>
      </c>
      <c r="H93" s="165">
        <v>8.1</v>
      </c>
      <c r="I93" s="166">
        <v>75.7</v>
      </c>
      <c r="J93" s="167">
        <f t="shared" si="50"/>
        <v>83.8</v>
      </c>
      <c r="K93" s="168">
        <f t="shared" ref="K93:K99" si="83">+H93*G93</f>
        <v>81</v>
      </c>
      <c r="L93" s="169">
        <f t="shared" ref="L93:L99" si="84">+I93*G93</f>
        <v>757</v>
      </c>
      <c r="M93" s="170">
        <f t="shared" si="69"/>
        <v>838</v>
      </c>
      <c r="N93" s="165">
        <f t="shared" si="36"/>
        <v>10.372859999999999</v>
      </c>
      <c r="O93" s="166">
        <f t="shared" si="36"/>
        <v>96.941419999999994</v>
      </c>
      <c r="P93" s="167">
        <f t="shared" si="52"/>
        <v>107.31</v>
      </c>
      <c r="Q93" s="168">
        <f t="shared" si="53"/>
        <v>103.7286</v>
      </c>
      <c r="R93" s="169">
        <f t="shared" si="54"/>
        <v>969.41419999999994</v>
      </c>
      <c r="S93" s="169">
        <f t="shared" si="55"/>
        <v>1073.1400000000001</v>
      </c>
      <c r="T93" s="161">
        <f t="shared" si="82"/>
        <v>4.2376629579027244E-4</v>
      </c>
    </row>
    <row r="94" spans="2:20" x14ac:dyDescent="0.25">
      <c r="B94" s="162" t="s">
        <v>915</v>
      </c>
      <c r="C94" s="160" t="s">
        <v>933</v>
      </c>
      <c r="D94" s="171" t="s">
        <v>875</v>
      </c>
      <c r="E94" s="163" t="s">
        <v>934</v>
      </c>
      <c r="F94" s="160" t="s">
        <v>227</v>
      </c>
      <c r="G94" s="164">
        <v>6</v>
      </c>
      <c r="H94" s="165">
        <v>34.94</v>
      </c>
      <c r="I94" s="166">
        <v>57.68</v>
      </c>
      <c r="J94" s="167">
        <f t="shared" si="50"/>
        <v>92.62</v>
      </c>
      <c r="K94" s="168">
        <f t="shared" si="83"/>
        <v>209.64</v>
      </c>
      <c r="L94" s="169">
        <f t="shared" si="84"/>
        <v>346.08</v>
      </c>
      <c r="M94" s="170">
        <f t="shared" si="69"/>
        <v>555.72</v>
      </c>
      <c r="N94" s="165">
        <f t="shared" ref="N94:O152" si="85">+H94*(1+$T$10)</f>
        <v>44.744163999999998</v>
      </c>
      <c r="O94" s="166">
        <f t="shared" si="85"/>
        <v>73.865008000000003</v>
      </c>
      <c r="P94" s="167">
        <f t="shared" si="52"/>
        <v>118.6</v>
      </c>
      <c r="Q94" s="168">
        <f t="shared" si="53"/>
        <v>268.46498399999996</v>
      </c>
      <c r="R94" s="169">
        <f t="shared" si="54"/>
        <v>443.19004800000005</v>
      </c>
      <c r="S94" s="169">
        <f t="shared" si="55"/>
        <v>711.65</v>
      </c>
      <c r="T94" s="161">
        <f t="shared" si="82"/>
        <v>2.8101951693082668E-4</v>
      </c>
    </row>
    <row r="95" spans="2:20" x14ac:dyDescent="0.25">
      <c r="B95" s="162" t="s">
        <v>916</v>
      </c>
      <c r="C95" s="160" t="s">
        <v>935</v>
      </c>
      <c r="D95" s="171" t="s">
        <v>875</v>
      </c>
      <c r="E95" s="163" t="s">
        <v>936</v>
      </c>
      <c r="F95" s="160" t="s">
        <v>227</v>
      </c>
      <c r="G95" s="164">
        <v>6</v>
      </c>
      <c r="H95" s="165">
        <v>34.94</v>
      </c>
      <c r="I95" s="166">
        <v>57.68</v>
      </c>
      <c r="J95" s="167">
        <f t="shared" si="50"/>
        <v>92.62</v>
      </c>
      <c r="K95" s="168">
        <f t="shared" si="83"/>
        <v>209.64</v>
      </c>
      <c r="L95" s="169">
        <f t="shared" si="84"/>
        <v>346.08</v>
      </c>
      <c r="M95" s="170">
        <f t="shared" si="69"/>
        <v>555.72</v>
      </c>
      <c r="N95" s="165">
        <f t="shared" si="85"/>
        <v>44.744163999999998</v>
      </c>
      <c r="O95" s="166">
        <f t="shared" si="85"/>
        <v>73.865008000000003</v>
      </c>
      <c r="P95" s="167">
        <f t="shared" si="52"/>
        <v>118.6</v>
      </c>
      <c r="Q95" s="168">
        <f t="shared" si="53"/>
        <v>268.46498399999996</v>
      </c>
      <c r="R95" s="169">
        <f t="shared" si="54"/>
        <v>443.19004800000005</v>
      </c>
      <c r="S95" s="169">
        <f t="shared" si="55"/>
        <v>711.65</v>
      </c>
      <c r="T95" s="161">
        <f t="shared" si="82"/>
        <v>2.8101951693082668E-4</v>
      </c>
    </row>
    <row r="96" spans="2:20" x14ac:dyDescent="0.25">
      <c r="B96" s="162" t="s">
        <v>917</v>
      </c>
      <c r="C96" s="160" t="s">
        <v>937</v>
      </c>
      <c r="D96" s="171" t="s">
        <v>177</v>
      </c>
      <c r="E96" s="163" t="s">
        <v>938</v>
      </c>
      <c r="F96" s="160" t="s">
        <v>227</v>
      </c>
      <c r="G96" s="164">
        <v>3</v>
      </c>
      <c r="H96" s="165">
        <v>25.25</v>
      </c>
      <c r="I96" s="166">
        <v>191.41</v>
      </c>
      <c r="J96" s="167">
        <f t="shared" si="50"/>
        <v>216.66</v>
      </c>
      <c r="K96" s="168">
        <f t="shared" si="83"/>
        <v>75.75</v>
      </c>
      <c r="L96" s="169">
        <f t="shared" si="84"/>
        <v>574.23</v>
      </c>
      <c r="M96" s="170">
        <f t="shared" si="69"/>
        <v>649.98</v>
      </c>
      <c r="N96" s="165">
        <f t="shared" si="85"/>
        <v>32.335149999999999</v>
      </c>
      <c r="O96" s="166">
        <f t="shared" si="85"/>
        <v>245.11964599999999</v>
      </c>
      <c r="P96" s="167">
        <f t="shared" si="52"/>
        <v>277.45</v>
      </c>
      <c r="Q96" s="168">
        <f t="shared" si="53"/>
        <v>97.005449999999996</v>
      </c>
      <c r="R96" s="169">
        <f t="shared" si="54"/>
        <v>735.35893799999997</v>
      </c>
      <c r="S96" s="169">
        <f t="shared" si="55"/>
        <v>832.36</v>
      </c>
      <c r="T96" s="161">
        <f t="shared" si="82"/>
        <v>3.2868601856606889E-4</v>
      </c>
    </row>
    <row r="97" spans="2:20" x14ac:dyDescent="0.25">
      <c r="B97" s="162" t="s">
        <v>918</v>
      </c>
      <c r="C97" s="160" t="s">
        <v>939</v>
      </c>
      <c r="D97" s="171" t="s">
        <v>875</v>
      </c>
      <c r="E97" s="163" t="s">
        <v>940</v>
      </c>
      <c r="F97" s="160" t="s">
        <v>227</v>
      </c>
      <c r="G97" s="164">
        <v>4</v>
      </c>
      <c r="H97" s="165">
        <v>34.94</v>
      </c>
      <c r="I97" s="166">
        <v>80.44</v>
      </c>
      <c r="J97" s="167">
        <f t="shared" si="50"/>
        <v>115.38</v>
      </c>
      <c r="K97" s="168">
        <f t="shared" si="83"/>
        <v>139.76</v>
      </c>
      <c r="L97" s="169">
        <f t="shared" si="84"/>
        <v>321.76</v>
      </c>
      <c r="M97" s="170">
        <f t="shared" si="69"/>
        <v>461.52</v>
      </c>
      <c r="N97" s="165">
        <f t="shared" si="85"/>
        <v>44.744163999999998</v>
      </c>
      <c r="O97" s="166">
        <f t="shared" si="85"/>
        <v>103.01146399999999</v>
      </c>
      <c r="P97" s="167">
        <f t="shared" si="52"/>
        <v>147.75</v>
      </c>
      <c r="Q97" s="168">
        <f t="shared" si="53"/>
        <v>178.97665599999999</v>
      </c>
      <c r="R97" s="169">
        <f t="shared" si="54"/>
        <v>412.04585599999996</v>
      </c>
      <c r="S97" s="169">
        <f t="shared" si="55"/>
        <v>591.02</v>
      </c>
      <c r="T97" s="161">
        <f t="shared" si="82"/>
        <v>2.3338460605136963E-4</v>
      </c>
    </row>
    <row r="98" spans="2:20" x14ac:dyDescent="0.25">
      <c r="B98" s="162" t="s">
        <v>919</v>
      </c>
      <c r="C98" s="160" t="s">
        <v>759</v>
      </c>
      <c r="D98" s="171" t="s">
        <v>214</v>
      </c>
      <c r="E98" s="163" t="s">
        <v>760</v>
      </c>
      <c r="F98" s="160" t="s">
        <v>22</v>
      </c>
      <c r="G98" s="164">
        <v>4</v>
      </c>
      <c r="H98" s="165">
        <v>12.21</v>
      </c>
      <c r="I98" s="166">
        <v>191.52</v>
      </c>
      <c r="J98" s="167">
        <f t="shared" si="50"/>
        <v>203.73</v>
      </c>
      <c r="K98" s="168">
        <f t="shared" si="83"/>
        <v>48.84</v>
      </c>
      <c r="L98" s="169">
        <f t="shared" si="84"/>
        <v>766.08</v>
      </c>
      <c r="M98" s="170">
        <f t="shared" si="69"/>
        <v>814.92</v>
      </c>
      <c r="N98" s="165">
        <f t="shared" si="85"/>
        <v>15.636126000000001</v>
      </c>
      <c r="O98" s="166">
        <f t="shared" si="85"/>
        <v>245.26051200000001</v>
      </c>
      <c r="P98" s="167">
        <f t="shared" si="52"/>
        <v>260.89</v>
      </c>
      <c r="Q98" s="168">
        <f t="shared" si="53"/>
        <v>62.544504000000003</v>
      </c>
      <c r="R98" s="169">
        <f t="shared" si="54"/>
        <v>981.04204800000002</v>
      </c>
      <c r="S98" s="169">
        <f t="shared" si="55"/>
        <v>1043.58</v>
      </c>
      <c r="T98" s="161">
        <f t="shared" si="82"/>
        <v>4.1209351152767806E-4</v>
      </c>
    </row>
    <row r="99" spans="2:20" x14ac:dyDescent="0.25">
      <c r="B99" s="162" t="s">
        <v>920</v>
      </c>
      <c r="C99" s="160" t="s">
        <v>941</v>
      </c>
      <c r="D99" s="171" t="s">
        <v>267</v>
      </c>
      <c r="E99" s="163" t="s">
        <v>942</v>
      </c>
      <c r="F99" s="160" t="s">
        <v>22</v>
      </c>
      <c r="G99" s="164">
        <v>414</v>
      </c>
      <c r="H99" s="165">
        <v>12.58</v>
      </c>
      <c r="I99" s="166">
        <v>17.32</v>
      </c>
      <c r="J99" s="167">
        <f t="shared" si="50"/>
        <v>29.9</v>
      </c>
      <c r="K99" s="168">
        <f t="shared" si="83"/>
        <v>5208.12</v>
      </c>
      <c r="L99" s="169">
        <f t="shared" si="84"/>
        <v>7170.4800000000005</v>
      </c>
      <c r="M99" s="170">
        <f t="shared" si="69"/>
        <v>12378.6</v>
      </c>
      <c r="N99" s="165">
        <f t="shared" si="85"/>
        <v>16.109947999999999</v>
      </c>
      <c r="O99" s="166">
        <f t="shared" si="85"/>
        <v>22.179991999999999</v>
      </c>
      <c r="P99" s="167">
        <f t="shared" si="52"/>
        <v>38.28</v>
      </c>
      <c r="Q99" s="168">
        <f t="shared" si="53"/>
        <v>6669.5184719999997</v>
      </c>
      <c r="R99" s="169">
        <f t="shared" si="54"/>
        <v>9182.5166879999997</v>
      </c>
      <c r="S99" s="169">
        <f t="shared" si="55"/>
        <v>15852.03</v>
      </c>
      <c r="T99" s="161">
        <f t="shared" si="82"/>
        <v>6.2597201053509067E-3</v>
      </c>
    </row>
    <row r="100" spans="2:20" x14ac:dyDescent="0.25">
      <c r="B100" s="162" t="s">
        <v>921</v>
      </c>
      <c r="C100" s="160" t="s">
        <v>943</v>
      </c>
      <c r="D100" s="171" t="s">
        <v>875</v>
      </c>
      <c r="E100" s="163" t="s">
        <v>944</v>
      </c>
      <c r="F100" s="160" t="s">
        <v>227</v>
      </c>
      <c r="G100" s="164">
        <v>1</v>
      </c>
      <c r="H100" s="165">
        <v>34.94</v>
      </c>
      <c r="I100" s="166">
        <v>56.39</v>
      </c>
      <c r="J100" s="167">
        <f t="shared" si="50"/>
        <v>91.33</v>
      </c>
      <c r="K100" s="168">
        <f>+H100*G100</f>
        <v>34.94</v>
      </c>
      <c r="L100" s="169">
        <f>+I100*G100</f>
        <v>56.39</v>
      </c>
      <c r="M100" s="170">
        <f t="shared" si="69"/>
        <v>91.33</v>
      </c>
      <c r="N100" s="165">
        <f t="shared" si="85"/>
        <v>44.744163999999998</v>
      </c>
      <c r="O100" s="166">
        <f t="shared" si="85"/>
        <v>72.213033999999993</v>
      </c>
      <c r="P100" s="167">
        <f t="shared" si="52"/>
        <v>116.95</v>
      </c>
      <c r="Q100" s="168">
        <f t="shared" si="53"/>
        <v>44.744163999999998</v>
      </c>
      <c r="R100" s="169">
        <f t="shared" si="54"/>
        <v>72.213033999999993</v>
      </c>
      <c r="S100" s="169">
        <f t="shared" si="55"/>
        <v>116.95</v>
      </c>
      <c r="T100" s="161">
        <f t="shared" si="82"/>
        <v>4.6181736113342492E-5</v>
      </c>
    </row>
    <row r="101" spans="2:20" ht="25.5" x14ac:dyDescent="0.25">
      <c r="B101" s="162" t="s">
        <v>922</v>
      </c>
      <c r="C101" s="160" t="s">
        <v>945</v>
      </c>
      <c r="D101" s="171" t="s">
        <v>31</v>
      </c>
      <c r="E101" s="163" t="s">
        <v>946</v>
      </c>
      <c r="F101" s="160" t="s">
        <v>22</v>
      </c>
      <c r="G101" s="164">
        <v>1</v>
      </c>
      <c r="H101" s="165">
        <v>39.24</v>
      </c>
      <c r="I101" s="166">
        <v>4818.8</v>
      </c>
      <c r="J101" s="167">
        <f t="shared" si="50"/>
        <v>4858.04</v>
      </c>
      <c r="K101" s="168">
        <f t="shared" ref="K101:K104" si="86">+H101*G101</f>
        <v>39.24</v>
      </c>
      <c r="L101" s="169">
        <f t="shared" ref="L101:L104" si="87">+I101*G101</f>
        <v>4818.8</v>
      </c>
      <c r="M101" s="170">
        <f t="shared" si="69"/>
        <v>4858.04</v>
      </c>
      <c r="N101" s="165">
        <f t="shared" si="85"/>
        <v>50.250744000000005</v>
      </c>
      <c r="O101" s="166">
        <f t="shared" si="85"/>
        <v>6170.9552800000001</v>
      </c>
      <c r="P101" s="167">
        <f t="shared" si="52"/>
        <v>6221.2</v>
      </c>
      <c r="Q101" s="168">
        <f t="shared" si="53"/>
        <v>50.250744000000005</v>
      </c>
      <c r="R101" s="169">
        <f t="shared" si="54"/>
        <v>6170.9552800000001</v>
      </c>
      <c r="S101" s="169">
        <f t="shared" si="55"/>
        <v>6221.2</v>
      </c>
      <c r="T101" s="161">
        <f t="shared" si="82"/>
        <v>2.4566551236282711E-3</v>
      </c>
    </row>
    <row r="102" spans="2:20" ht="25.5" x14ac:dyDescent="0.25">
      <c r="B102" s="162" t="s">
        <v>923</v>
      </c>
      <c r="C102" s="160" t="s">
        <v>947</v>
      </c>
      <c r="D102" s="171" t="s">
        <v>125</v>
      </c>
      <c r="E102" s="163" t="s">
        <v>948</v>
      </c>
      <c r="F102" s="160" t="s">
        <v>22</v>
      </c>
      <c r="G102" s="164">
        <v>27</v>
      </c>
      <c r="H102" s="165">
        <v>2.0699999999999998</v>
      </c>
      <c r="I102" s="166">
        <v>151.47</v>
      </c>
      <c r="J102" s="167">
        <f t="shared" si="50"/>
        <v>153.54</v>
      </c>
      <c r="K102" s="168">
        <f t="shared" si="86"/>
        <v>55.889999999999993</v>
      </c>
      <c r="L102" s="169">
        <f t="shared" si="87"/>
        <v>4089.69</v>
      </c>
      <c r="M102" s="170">
        <f t="shared" si="69"/>
        <v>4145.58</v>
      </c>
      <c r="N102" s="165">
        <f t="shared" si="85"/>
        <v>2.6508419999999999</v>
      </c>
      <c r="O102" s="166">
        <f t="shared" si="85"/>
        <v>193.97248199999999</v>
      </c>
      <c r="P102" s="167">
        <f t="shared" si="52"/>
        <v>196.62</v>
      </c>
      <c r="Q102" s="168">
        <f t="shared" si="53"/>
        <v>71.572733999999997</v>
      </c>
      <c r="R102" s="169">
        <f t="shared" si="54"/>
        <v>5237.2570139999998</v>
      </c>
      <c r="S102" s="169">
        <f t="shared" si="55"/>
        <v>5308.82</v>
      </c>
      <c r="T102" s="161">
        <f t="shared" si="82"/>
        <v>2.0963704515881559E-3</v>
      </c>
    </row>
    <row r="103" spans="2:20" ht="25.5" x14ac:dyDescent="0.25">
      <c r="B103" s="162" t="s">
        <v>924</v>
      </c>
      <c r="C103" s="160" t="s">
        <v>949</v>
      </c>
      <c r="D103" s="171" t="s">
        <v>905</v>
      </c>
      <c r="E103" s="163" t="s">
        <v>950</v>
      </c>
      <c r="F103" s="160" t="s">
        <v>847</v>
      </c>
      <c r="G103" s="164">
        <v>92</v>
      </c>
      <c r="H103" s="165">
        <v>30.82</v>
      </c>
      <c r="I103" s="166">
        <v>117.03</v>
      </c>
      <c r="J103" s="167">
        <f t="shared" si="50"/>
        <v>147.85</v>
      </c>
      <c r="K103" s="168">
        <f t="shared" si="86"/>
        <v>2835.44</v>
      </c>
      <c r="L103" s="169">
        <f t="shared" si="87"/>
        <v>10766.76</v>
      </c>
      <c r="M103" s="170">
        <f t="shared" si="69"/>
        <v>13602.2</v>
      </c>
      <c r="N103" s="165">
        <f t="shared" si="85"/>
        <v>39.468091999999999</v>
      </c>
      <c r="O103" s="166">
        <f t="shared" si="85"/>
        <v>149.868618</v>
      </c>
      <c r="P103" s="167">
        <f t="shared" si="52"/>
        <v>189.33</v>
      </c>
      <c r="Q103" s="168">
        <f t="shared" si="53"/>
        <v>3631.064464</v>
      </c>
      <c r="R103" s="169">
        <f t="shared" si="54"/>
        <v>13787.912855999999</v>
      </c>
      <c r="S103" s="169">
        <f t="shared" si="55"/>
        <v>17418.97</v>
      </c>
      <c r="T103" s="161">
        <f t="shared" si="82"/>
        <v>6.8784803412247067E-3</v>
      </c>
    </row>
    <row r="104" spans="2:20" x14ac:dyDescent="0.25">
      <c r="B104" s="162"/>
      <c r="C104" s="160"/>
      <c r="D104" s="171"/>
      <c r="E104" s="163"/>
      <c r="F104" s="160"/>
      <c r="G104" s="164"/>
      <c r="H104" s="165"/>
      <c r="I104" s="166"/>
      <c r="J104" s="167">
        <f t="shared" si="50"/>
        <v>0</v>
      </c>
      <c r="K104" s="168">
        <f t="shared" si="86"/>
        <v>0</v>
      </c>
      <c r="L104" s="169">
        <f t="shared" si="87"/>
        <v>0</v>
      </c>
      <c r="M104" s="170">
        <f t="shared" si="69"/>
        <v>0</v>
      </c>
      <c r="N104" s="165">
        <f t="shared" si="85"/>
        <v>0</v>
      </c>
      <c r="O104" s="166">
        <f t="shared" si="85"/>
        <v>0</v>
      </c>
      <c r="P104" s="167">
        <f t="shared" si="52"/>
        <v>0</v>
      </c>
      <c r="Q104" s="168">
        <f t="shared" si="53"/>
        <v>0</v>
      </c>
      <c r="R104" s="169">
        <f t="shared" si="54"/>
        <v>0</v>
      </c>
      <c r="S104" s="169">
        <f t="shared" si="55"/>
        <v>0</v>
      </c>
      <c r="T104" s="161" t="e">
        <f>+S104/#REF!</f>
        <v>#REF!</v>
      </c>
    </row>
    <row r="105" spans="2:20" x14ac:dyDescent="0.25">
      <c r="B105" s="327">
        <v>9</v>
      </c>
      <c r="C105" s="328"/>
      <c r="D105" s="328"/>
      <c r="E105" s="329" t="s">
        <v>1180</v>
      </c>
      <c r="F105" s="330"/>
      <c r="G105" s="331"/>
      <c r="H105" s="332"/>
      <c r="I105" s="330"/>
      <c r="J105" s="333">
        <f t="shared" si="50"/>
        <v>0</v>
      </c>
      <c r="K105" s="391">
        <f>SUM(K106:K108)</f>
        <v>63785.98</v>
      </c>
      <c r="L105" s="391">
        <f>SUM(L106:L108)</f>
        <v>55990.39</v>
      </c>
      <c r="M105" s="391">
        <f>SUM(M106:M108)</f>
        <v>119776.37</v>
      </c>
      <c r="N105" s="396">
        <f t="shared" si="85"/>
        <v>0</v>
      </c>
      <c r="O105" s="350">
        <f t="shared" si="85"/>
        <v>0</v>
      </c>
      <c r="P105" s="351">
        <f t="shared" si="52"/>
        <v>0</v>
      </c>
      <c r="Q105" s="391">
        <f>SUM(Q106:Q108)</f>
        <v>81684.325988000011</v>
      </c>
      <c r="R105" s="391">
        <f>SUM(R106:R108)</f>
        <v>71701.293434000007</v>
      </c>
      <c r="S105" s="391">
        <f>SUM(S106:S108)</f>
        <v>153385.59999999998</v>
      </c>
      <c r="T105" s="334">
        <f>+S105/$S$212</f>
        <v>6.0569587881887169E-2</v>
      </c>
    </row>
    <row r="106" spans="2:20" ht="38.25" x14ac:dyDescent="0.25">
      <c r="B106" s="162" t="s">
        <v>1455</v>
      </c>
      <c r="C106" s="160" t="s">
        <v>1390</v>
      </c>
      <c r="D106" s="171" t="s">
        <v>125</v>
      </c>
      <c r="E106" s="163" t="s">
        <v>304</v>
      </c>
      <c r="F106" s="160" t="s">
        <v>35</v>
      </c>
      <c r="G106" s="164">
        <v>2211</v>
      </c>
      <c r="H106" s="165">
        <v>26.53</v>
      </c>
      <c r="I106" s="166">
        <v>22.71</v>
      </c>
      <c r="J106" s="167">
        <f t="shared" si="50"/>
        <v>49.24</v>
      </c>
      <c r="K106" s="168">
        <f t="shared" ref="K106:K109" si="88">+H106*G106</f>
        <v>58657.83</v>
      </c>
      <c r="L106" s="169">
        <f t="shared" ref="L106:L109" si="89">+I106*G106</f>
        <v>50211.810000000005</v>
      </c>
      <c r="M106" s="170">
        <f t="shared" ref="M106:M109" si="90">TRUNC(SUM(K106:L106),2)</f>
        <v>108869.64</v>
      </c>
      <c r="N106" s="165">
        <f t="shared" si="85"/>
        <v>33.974318000000004</v>
      </c>
      <c r="O106" s="166">
        <f t="shared" si="85"/>
        <v>29.082426000000002</v>
      </c>
      <c r="P106" s="167">
        <f t="shared" ref="P106:P109" si="91">TRUNC(SUM(N106:O106),2)</f>
        <v>63.05</v>
      </c>
      <c r="Q106" s="168">
        <f t="shared" ref="Q106:Q109" si="92">+N106*G106</f>
        <v>75117.217098000008</v>
      </c>
      <c r="R106" s="169">
        <f t="shared" ref="R106:R109" si="93">+O106*G106</f>
        <v>64301.243886000004</v>
      </c>
      <c r="S106" s="169">
        <f t="shared" ref="S106:S109" si="94">TRUNC(SUM(Q106:R106),2)</f>
        <v>139418.46</v>
      </c>
      <c r="T106" s="161">
        <f t="shared" ref="T106:T108" si="95">+S106/$S$212</f>
        <v>5.5054181522433472E-2</v>
      </c>
    </row>
    <row r="107" spans="2:20" x14ac:dyDescent="0.25">
      <c r="B107" s="162" t="s">
        <v>1456</v>
      </c>
      <c r="C107" s="160">
        <v>9526</v>
      </c>
      <c r="D107" s="171" t="s">
        <v>177</v>
      </c>
      <c r="E107" s="163" t="s">
        <v>952</v>
      </c>
      <c r="F107" s="160" t="s">
        <v>227</v>
      </c>
      <c r="G107" s="164">
        <v>911</v>
      </c>
      <c r="H107" s="165">
        <v>5.6</v>
      </c>
      <c r="I107" s="166">
        <v>6.32</v>
      </c>
      <c r="J107" s="167">
        <f t="shared" si="50"/>
        <v>11.92</v>
      </c>
      <c r="K107" s="168">
        <f t="shared" si="88"/>
        <v>5101.5999999999995</v>
      </c>
      <c r="L107" s="169">
        <f t="shared" si="89"/>
        <v>5757.52</v>
      </c>
      <c r="M107" s="170">
        <f t="shared" si="90"/>
        <v>10859.12</v>
      </c>
      <c r="N107" s="165">
        <f t="shared" si="85"/>
        <v>7.1713599999999991</v>
      </c>
      <c r="O107" s="166">
        <f t="shared" si="85"/>
        <v>8.0933919999999997</v>
      </c>
      <c r="P107" s="167">
        <f t="shared" si="91"/>
        <v>15.26</v>
      </c>
      <c r="Q107" s="168">
        <f t="shared" si="92"/>
        <v>6533.1089599999996</v>
      </c>
      <c r="R107" s="169">
        <f t="shared" si="93"/>
        <v>7373.0801119999996</v>
      </c>
      <c r="S107" s="169">
        <f t="shared" si="94"/>
        <v>13906.18</v>
      </c>
      <c r="T107" s="161">
        <f t="shared" si="95"/>
        <v>5.4913342035454562E-3</v>
      </c>
    </row>
    <row r="108" spans="2:20" x14ac:dyDescent="0.25">
      <c r="B108" s="162" t="s">
        <v>1457</v>
      </c>
      <c r="C108" s="160" t="s">
        <v>766</v>
      </c>
      <c r="D108" s="171" t="s">
        <v>125</v>
      </c>
      <c r="E108" s="163" t="s">
        <v>455</v>
      </c>
      <c r="F108" s="160" t="s">
        <v>22</v>
      </c>
      <c r="G108" s="164">
        <v>9</v>
      </c>
      <c r="H108" s="165">
        <v>2.95</v>
      </c>
      <c r="I108" s="166">
        <v>2.34</v>
      </c>
      <c r="J108" s="167">
        <f t="shared" si="50"/>
        <v>5.29</v>
      </c>
      <c r="K108" s="168">
        <f t="shared" si="88"/>
        <v>26.55</v>
      </c>
      <c r="L108" s="169">
        <f t="shared" si="89"/>
        <v>21.06</v>
      </c>
      <c r="M108" s="170">
        <f t="shared" si="90"/>
        <v>47.61</v>
      </c>
      <c r="N108" s="165">
        <f t="shared" si="85"/>
        <v>3.7777700000000003</v>
      </c>
      <c r="O108" s="166">
        <f t="shared" si="85"/>
        <v>2.9966039999999996</v>
      </c>
      <c r="P108" s="167">
        <f t="shared" si="91"/>
        <v>6.77</v>
      </c>
      <c r="Q108" s="168">
        <f t="shared" si="92"/>
        <v>33.999930000000006</v>
      </c>
      <c r="R108" s="169">
        <f t="shared" si="93"/>
        <v>26.969435999999995</v>
      </c>
      <c r="S108" s="169">
        <f t="shared" si="94"/>
        <v>60.96</v>
      </c>
      <c r="T108" s="161">
        <f t="shared" si="95"/>
        <v>2.4072155908245901E-5</v>
      </c>
    </row>
    <row r="109" spans="2:20" x14ac:dyDescent="0.25">
      <c r="B109" s="162"/>
      <c r="C109" s="160"/>
      <c r="D109" s="171"/>
      <c r="E109" s="163"/>
      <c r="F109" s="160"/>
      <c r="G109" s="164"/>
      <c r="H109" s="165"/>
      <c r="I109" s="166"/>
      <c r="J109" s="167">
        <f t="shared" si="50"/>
        <v>0</v>
      </c>
      <c r="K109" s="168">
        <f t="shared" si="88"/>
        <v>0</v>
      </c>
      <c r="L109" s="169">
        <f t="shared" si="89"/>
        <v>0</v>
      </c>
      <c r="M109" s="170">
        <f t="shared" si="90"/>
        <v>0</v>
      </c>
      <c r="N109" s="165">
        <f t="shared" si="85"/>
        <v>0</v>
      </c>
      <c r="O109" s="166">
        <f t="shared" si="85"/>
        <v>0</v>
      </c>
      <c r="P109" s="167">
        <f t="shared" si="91"/>
        <v>0</v>
      </c>
      <c r="Q109" s="168">
        <f t="shared" si="92"/>
        <v>0</v>
      </c>
      <c r="R109" s="169">
        <f t="shared" si="93"/>
        <v>0</v>
      </c>
      <c r="S109" s="169">
        <f t="shared" si="94"/>
        <v>0</v>
      </c>
      <c r="T109" s="161"/>
    </row>
    <row r="110" spans="2:20" x14ac:dyDescent="0.25">
      <c r="B110" s="327">
        <v>10</v>
      </c>
      <c r="C110" s="328"/>
      <c r="D110" s="328"/>
      <c r="E110" s="329" t="s">
        <v>953</v>
      </c>
      <c r="F110" s="330"/>
      <c r="G110" s="331"/>
      <c r="H110" s="332"/>
      <c r="I110" s="330"/>
      <c r="J110" s="333"/>
      <c r="K110" s="391">
        <f>SUM(K111:K120)</f>
        <v>47455.861999999994</v>
      </c>
      <c r="L110" s="391">
        <f t="shared" ref="L110:M110" si="96">SUM(L111:L120)</f>
        <v>134905.46399999998</v>
      </c>
      <c r="M110" s="391">
        <f t="shared" si="96"/>
        <v>182361.31</v>
      </c>
      <c r="N110" s="397">
        <f t="shared" si="85"/>
        <v>0</v>
      </c>
      <c r="O110" s="398">
        <f t="shared" si="85"/>
        <v>0</v>
      </c>
      <c r="P110" s="399"/>
      <c r="Q110" s="391">
        <f>SUM(Q111:Q120)</f>
        <v>60771.97687720001</v>
      </c>
      <c r="R110" s="391">
        <f t="shared" ref="R110" si="97">SUM(R111:R120)</f>
        <v>172759.93719840003</v>
      </c>
      <c r="S110" s="391">
        <f>SUM(S111:S120)</f>
        <v>233531.86000000002</v>
      </c>
      <c r="T110" s="334">
        <f>+S110/$S$212</f>
        <v>9.2218099466250897E-2</v>
      </c>
    </row>
    <row r="111" spans="2:20" ht="38.25" x14ac:dyDescent="0.25">
      <c r="B111" s="162" t="s">
        <v>954</v>
      </c>
      <c r="C111" s="160">
        <v>91864</v>
      </c>
      <c r="D111" s="171" t="s">
        <v>31</v>
      </c>
      <c r="E111" s="163" t="s">
        <v>1403</v>
      </c>
      <c r="F111" s="160" t="s">
        <v>35</v>
      </c>
      <c r="G111" s="164">
        <v>1000</v>
      </c>
      <c r="H111" s="165">
        <v>4.3899999999999997</v>
      </c>
      <c r="I111" s="166">
        <v>8.82</v>
      </c>
      <c r="J111" s="167">
        <f t="shared" ref="J111:J122" si="98">TRUNC(SUM(H111:I111),2)</f>
        <v>13.21</v>
      </c>
      <c r="K111" s="168">
        <f>+H111*G111</f>
        <v>4390</v>
      </c>
      <c r="L111" s="169">
        <f>+I111*G111</f>
        <v>8820</v>
      </c>
      <c r="M111" s="170">
        <f t="shared" ref="M111:M120" si="99">TRUNC(SUM(K111:L111),2)</f>
        <v>13210</v>
      </c>
      <c r="N111" s="165">
        <f t="shared" si="85"/>
        <v>5.6218339999999998</v>
      </c>
      <c r="O111" s="166">
        <f t="shared" si="85"/>
        <v>11.294892000000001</v>
      </c>
      <c r="P111" s="167">
        <f t="shared" ref="P111:P122" si="100">TRUNC(SUM(N111:O111),2)</f>
        <v>16.91</v>
      </c>
      <c r="Q111" s="168">
        <f t="shared" ref="Q111:Q120" si="101">+N111*G111</f>
        <v>5621.8339999999998</v>
      </c>
      <c r="R111" s="169">
        <f t="shared" ref="R111:R120" si="102">+O111*G111</f>
        <v>11294.892000000002</v>
      </c>
      <c r="S111" s="169">
        <f t="shared" ref="S111:S120" si="103">TRUNC(SUM(Q111:R111),2)</f>
        <v>16916.72</v>
      </c>
      <c r="T111" s="161">
        <f t="shared" ref="T111:T120" si="104">+S111/$S$212</f>
        <v>6.6801496275613785E-3</v>
      </c>
    </row>
    <row r="112" spans="2:20" ht="38.25" x14ac:dyDescent="0.25">
      <c r="B112" s="162" t="s">
        <v>955</v>
      </c>
      <c r="C112" s="160">
        <v>91863</v>
      </c>
      <c r="D112" s="171" t="s">
        <v>31</v>
      </c>
      <c r="E112" s="163" t="s">
        <v>1405</v>
      </c>
      <c r="F112" s="160" t="s">
        <v>35</v>
      </c>
      <c r="G112" s="164">
        <v>5535</v>
      </c>
      <c r="H112" s="165">
        <v>3.68</v>
      </c>
      <c r="I112" s="166">
        <v>6.27</v>
      </c>
      <c r="J112" s="167">
        <f t="shared" si="98"/>
        <v>9.9499999999999993</v>
      </c>
      <c r="K112" s="168">
        <f t="shared" ref="K112:K120" si="105">+H112*G112</f>
        <v>20368.8</v>
      </c>
      <c r="L112" s="169">
        <f t="shared" ref="L112:L120" si="106">+I112*G112</f>
        <v>34704.449999999997</v>
      </c>
      <c r="M112" s="170">
        <f t="shared" si="99"/>
        <v>55073.25</v>
      </c>
      <c r="N112" s="165">
        <f t="shared" si="85"/>
        <v>4.7126080000000004</v>
      </c>
      <c r="O112" s="166">
        <f t="shared" si="85"/>
        <v>8.029361999999999</v>
      </c>
      <c r="P112" s="167">
        <f t="shared" ref="P112:P120" si="107">TRUNC(SUM(N112:O112),2)</f>
        <v>12.74</v>
      </c>
      <c r="Q112" s="168">
        <f t="shared" si="101"/>
        <v>26084.285280000004</v>
      </c>
      <c r="R112" s="169">
        <f t="shared" si="102"/>
        <v>44442.518669999998</v>
      </c>
      <c r="S112" s="169">
        <f t="shared" si="103"/>
        <v>70526.8</v>
      </c>
      <c r="T112" s="161">
        <f t="shared" si="104"/>
        <v>2.7849936438807038E-2</v>
      </c>
    </row>
    <row r="113" spans="2:20" ht="38.25" x14ac:dyDescent="0.25">
      <c r="B113" s="162" t="s">
        <v>956</v>
      </c>
      <c r="C113" s="160">
        <v>93008</v>
      </c>
      <c r="D113" s="171" t="s">
        <v>31</v>
      </c>
      <c r="E113" s="163" t="s">
        <v>1407</v>
      </c>
      <c r="F113" s="160" t="s">
        <v>35</v>
      </c>
      <c r="G113" s="164">
        <v>6</v>
      </c>
      <c r="H113" s="165">
        <v>3.32</v>
      </c>
      <c r="I113" s="166">
        <v>11.3</v>
      </c>
      <c r="J113" s="167">
        <f t="shared" si="98"/>
        <v>14.62</v>
      </c>
      <c r="K113" s="168">
        <f t="shared" si="105"/>
        <v>19.919999999999998</v>
      </c>
      <c r="L113" s="169">
        <f t="shared" si="106"/>
        <v>67.800000000000011</v>
      </c>
      <c r="M113" s="170">
        <f t="shared" si="99"/>
        <v>87.72</v>
      </c>
      <c r="N113" s="165">
        <f t="shared" si="85"/>
        <v>4.2515919999999996</v>
      </c>
      <c r="O113" s="166">
        <f t="shared" si="85"/>
        <v>14.470780000000001</v>
      </c>
      <c r="P113" s="167">
        <f t="shared" si="107"/>
        <v>18.72</v>
      </c>
      <c r="Q113" s="168">
        <f t="shared" si="101"/>
        <v>25.509551999999999</v>
      </c>
      <c r="R113" s="169">
        <f t="shared" si="102"/>
        <v>86.824680000000001</v>
      </c>
      <c r="S113" s="169">
        <f t="shared" si="103"/>
        <v>112.33</v>
      </c>
      <c r="T113" s="161">
        <f t="shared" si="104"/>
        <v>4.4357369966752982E-5</v>
      </c>
    </row>
    <row r="114" spans="2:20" ht="38.25" x14ac:dyDescent="0.25">
      <c r="B114" s="162" t="s">
        <v>957</v>
      </c>
      <c r="C114" s="160">
        <v>93009</v>
      </c>
      <c r="D114" s="171" t="s">
        <v>31</v>
      </c>
      <c r="E114" s="163" t="s">
        <v>1409</v>
      </c>
      <c r="F114" s="160" t="s">
        <v>35</v>
      </c>
      <c r="G114" s="164">
        <v>14.8</v>
      </c>
      <c r="H114" s="165">
        <v>3.81</v>
      </c>
      <c r="I114" s="166">
        <v>17.850000000000001</v>
      </c>
      <c r="J114" s="167">
        <f t="shared" si="98"/>
        <v>21.66</v>
      </c>
      <c r="K114" s="168">
        <f t="shared" si="105"/>
        <v>56.388000000000005</v>
      </c>
      <c r="L114" s="169">
        <f t="shared" si="106"/>
        <v>264.18</v>
      </c>
      <c r="M114" s="170">
        <f t="shared" si="99"/>
        <v>320.56</v>
      </c>
      <c r="N114" s="165">
        <f t="shared" si="85"/>
        <v>4.879086</v>
      </c>
      <c r="O114" s="166">
        <f t="shared" si="85"/>
        <v>22.858710000000002</v>
      </c>
      <c r="P114" s="167">
        <f t="shared" si="107"/>
        <v>27.73</v>
      </c>
      <c r="Q114" s="168">
        <f t="shared" si="101"/>
        <v>72.210472800000005</v>
      </c>
      <c r="R114" s="169">
        <f t="shared" si="102"/>
        <v>338.30890800000003</v>
      </c>
      <c r="S114" s="169">
        <f t="shared" si="103"/>
        <v>410.51</v>
      </c>
      <c r="T114" s="161">
        <f t="shared" si="104"/>
        <v>1.621040144667655E-4</v>
      </c>
    </row>
    <row r="115" spans="2:20" ht="38.25" x14ac:dyDescent="0.25">
      <c r="B115" s="162" t="s">
        <v>958</v>
      </c>
      <c r="C115" s="160">
        <v>93012</v>
      </c>
      <c r="D115" s="171" t="s">
        <v>31</v>
      </c>
      <c r="E115" s="163" t="s">
        <v>1411</v>
      </c>
      <c r="F115" s="160" t="s">
        <v>35</v>
      </c>
      <c r="G115" s="164">
        <v>63.6</v>
      </c>
      <c r="H115" s="165">
        <v>6.31</v>
      </c>
      <c r="I115" s="166">
        <v>49.64</v>
      </c>
      <c r="J115" s="167">
        <f t="shared" si="98"/>
        <v>55.95</v>
      </c>
      <c r="K115" s="168">
        <f t="shared" si="105"/>
        <v>401.31599999999997</v>
      </c>
      <c r="L115" s="169">
        <f t="shared" si="106"/>
        <v>3157.1040000000003</v>
      </c>
      <c r="M115" s="170">
        <f t="shared" si="99"/>
        <v>3558.42</v>
      </c>
      <c r="N115" s="165">
        <f t="shared" si="85"/>
        <v>8.0805859999999985</v>
      </c>
      <c r="O115" s="166">
        <f t="shared" si="85"/>
        <v>63.568984</v>
      </c>
      <c r="P115" s="167">
        <f t="shared" si="107"/>
        <v>71.64</v>
      </c>
      <c r="Q115" s="168">
        <f t="shared" si="101"/>
        <v>513.92526959999987</v>
      </c>
      <c r="R115" s="169">
        <f t="shared" si="102"/>
        <v>4042.9873824000001</v>
      </c>
      <c r="S115" s="169">
        <f t="shared" si="103"/>
        <v>4556.91</v>
      </c>
      <c r="T115" s="161">
        <f t="shared" si="104"/>
        <v>1.799452886808478E-3</v>
      </c>
    </row>
    <row r="116" spans="2:20" x14ac:dyDescent="0.25">
      <c r="B116" s="162" t="s">
        <v>1439</v>
      </c>
      <c r="C116" s="160">
        <v>11819</v>
      </c>
      <c r="D116" s="171" t="s">
        <v>177</v>
      </c>
      <c r="E116" s="163" t="s">
        <v>963</v>
      </c>
      <c r="F116" s="160" t="s">
        <v>227</v>
      </c>
      <c r="G116" s="164">
        <v>1</v>
      </c>
      <c r="H116" s="165">
        <v>2.79</v>
      </c>
      <c r="I116" s="166">
        <v>3.65</v>
      </c>
      <c r="J116" s="167">
        <f t="shared" si="98"/>
        <v>6.44</v>
      </c>
      <c r="K116" s="168">
        <f t="shared" si="105"/>
        <v>2.79</v>
      </c>
      <c r="L116" s="169">
        <f t="shared" si="106"/>
        <v>3.65</v>
      </c>
      <c r="M116" s="170">
        <f t="shared" si="99"/>
        <v>6.44</v>
      </c>
      <c r="N116" s="165">
        <f t="shared" si="85"/>
        <v>3.5728740000000001</v>
      </c>
      <c r="O116" s="166">
        <f t="shared" si="85"/>
        <v>4.6741899999999994</v>
      </c>
      <c r="P116" s="167">
        <f t="shared" si="107"/>
        <v>8.24</v>
      </c>
      <c r="Q116" s="168">
        <f t="shared" si="101"/>
        <v>3.5728740000000001</v>
      </c>
      <c r="R116" s="169">
        <f t="shared" si="102"/>
        <v>4.6741899999999994</v>
      </c>
      <c r="S116" s="169">
        <f t="shared" si="103"/>
        <v>8.24</v>
      </c>
      <c r="T116" s="161">
        <f t="shared" si="104"/>
        <v>3.2538478458652597E-6</v>
      </c>
    </row>
    <row r="117" spans="2:20" x14ac:dyDescent="0.25">
      <c r="B117" s="162" t="s">
        <v>1440</v>
      </c>
      <c r="C117" s="160">
        <v>68207</v>
      </c>
      <c r="D117" s="171" t="s">
        <v>214</v>
      </c>
      <c r="E117" s="163" t="s">
        <v>751</v>
      </c>
      <c r="F117" s="160" t="s">
        <v>35</v>
      </c>
      <c r="G117" s="164">
        <v>0.3</v>
      </c>
      <c r="H117" s="165">
        <v>18.260000000000002</v>
      </c>
      <c r="I117" s="166">
        <v>91.5</v>
      </c>
      <c r="J117" s="167">
        <f t="shared" si="98"/>
        <v>109.76</v>
      </c>
      <c r="K117" s="168">
        <f t="shared" si="105"/>
        <v>5.4780000000000006</v>
      </c>
      <c r="L117" s="169">
        <f t="shared" si="106"/>
        <v>27.45</v>
      </c>
      <c r="M117" s="170">
        <f t="shared" si="99"/>
        <v>32.92</v>
      </c>
      <c r="N117" s="165">
        <f t="shared" si="85"/>
        <v>23.383756000000002</v>
      </c>
      <c r="O117" s="166">
        <f t="shared" si="85"/>
        <v>117.17489999999999</v>
      </c>
      <c r="P117" s="167">
        <f t="shared" si="107"/>
        <v>140.55000000000001</v>
      </c>
      <c r="Q117" s="168">
        <f t="shared" si="101"/>
        <v>7.0151268</v>
      </c>
      <c r="R117" s="169">
        <f t="shared" si="102"/>
        <v>35.152469999999994</v>
      </c>
      <c r="S117" s="169">
        <f t="shared" si="103"/>
        <v>42.16</v>
      </c>
      <c r="T117" s="161">
        <f t="shared" si="104"/>
        <v>1.6648328298747492E-5</v>
      </c>
    </row>
    <row r="118" spans="2:20" x14ac:dyDescent="0.25">
      <c r="B118" s="162" t="s">
        <v>959</v>
      </c>
      <c r="C118" s="160">
        <v>60140</v>
      </c>
      <c r="D118" s="171" t="s">
        <v>214</v>
      </c>
      <c r="E118" s="163" t="s">
        <v>1392</v>
      </c>
      <c r="F118" s="160" t="s">
        <v>22</v>
      </c>
      <c r="G118" s="164">
        <v>111</v>
      </c>
      <c r="H118" s="165">
        <v>1.27</v>
      </c>
      <c r="I118" s="166">
        <v>38.47</v>
      </c>
      <c r="J118" s="167">
        <f t="shared" si="98"/>
        <v>39.74</v>
      </c>
      <c r="K118" s="168">
        <f t="shared" si="105"/>
        <v>140.97</v>
      </c>
      <c r="L118" s="169">
        <f t="shared" si="106"/>
        <v>4270.17</v>
      </c>
      <c r="M118" s="170">
        <f t="shared" si="99"/>
        <v>4411.1400000000003</v>
      </c>
      <c r="N118" s="165">
        <f t="shared" si="85"/>
        <v>1.6263619999999999</v>
      </c>
      <c r="O118" s="166">
        <f t="shared" si="85"/>
        <v>49.264682000000001</v>
      </c>
      <c r="P118" s="167">
        <f t="shared" si="107"/>
        <v>50.89</v>
      </c>
      <c r="Q118" s="168">
        <f t="shared" si="101"/>
        <v>180.52618199999998</v>
      </c>
      <c r="R118" s="169">
        <f t="shared" si="102"/>
        <v>5468.3797020000002</v>
      </c>
      <c r="S118" s="169">
        <f t="shared" si="103"/>
        <v>5648.9</v>
      </c>
      <c r="T118" s="161">
        <f t="shared" si="104"/>
        <v>2.2306627544306143E-3</v>
      </c>
    </row>
    <row r="119" spans="2:20" ht="38.25" x14ac:dyDescent="0.25">
      <c r="B119" s="162" t="s">
        <v>960</v>
      </c>
      <c r="C119" s="160">
        <v>90953</v>
      </c>
      <c r="D119" s="171" t="s">
        <v>1375</v>
      </c>
      <c r="E119" s="163" t="s">
        <v>1415</v>
      </c>
      <c r="F119" s="160" t="s">
        <v>22</v>
      </c>
      <c r="G119" s="164">
        <v>244</v>
      </c>
      <c r="H119" s="165">
        <v>64.8</v>
      </c>
      <c r="I119" s="166">
        <v>219.69</v>
      </c>
      <c r="J119" s="167">
        <f t="shared" si="98"/>
        <v>284.49</v>
      </c>
      <c r="K119" s="168">
        <f t="shared" si="105"/>
        <v>15811.199999999999</v>
      </c>
      <c r="L119" s="169">
        <f t="shared" si="106"/>
        <v>53604.36</v>
      </c>
      <c r="M119" s="170">
        <f t="shared" si="99"/>
        <v>69415.56</v>
      </c>
      <c r="N119" s="165">
        <f t="shared" si="85"/>
        <v>82.982879999999994</v>
      </c>
      <c r="O119" s="166">
        <f t="shared" si="85"/>
        <v>281.335014</v>
      </c>
      <c r="P119" s="167">
        <f t="shared" si="107"/>
        <v>364.31</v>
      </c>
      <c r="Q119" s="168">
        <f t="shared" si="101"/>
        <v>20247.82272</v>
      </c>
      <c r="R119" s="169">
        <f t="shared" si="102"/>
        <v>68645.743415999998</v>
      </c>
      <c r="S119" s="169">
        <f t="shared" si="103"/>
        <v>88893.56</v>
      </c>
      <c r="T119" s="161">
        <f t="shared" si="104"/>
        <v>3.510268431035124E-2</v>
      </c>
    </row>
    <row r="120" spans="2:20" ht="25.5" x14ac:dyDescent="0.25">
      <c r="B120" s="162" t="s">
        <v>961</v>
      </c>
      <c r="C120" s="160">
        <v>100903</v>
      </c>
      <c r="D120" s="171" t="s">
        <v>31</v>
      </c>
      <c r="E120" s="163" t="s">
        <v>1417</v>
      </c>
      <c r="F120" s="160" t="s">
        <v>22</v>
      </c>
      <c r="G120" s="164">
        <v>1138</v>
      </c>
      <c r="H120" s="165">
        <v>5.5</v>
      </c>
      <c r="I120" s="166">
        <v>26.35</v>
      </c>
      <c r="J120" s="167">
        <f t="shared" si="98"/>
        <v>31.85</v>
      </c>
      <c r="K120" s="168">
        <f t="shared" si="105"/>
        <v>6259</v>
      </c>
      <c r="L120" s="169">
        <f t="shared" si="106"/>
        <v>29986.300000000003</v>
      </c>
      <c r="M120" s="170">
        <f t="shared" si="99"/>
        <v>36245.300000000003</v>
      </c>
      <c r="N120" s="165">
        <f t="shared" si="85"/>
        <v>7.0432999999999995</v>
      </c>
      <c r="O120" s="166">
        <f t="shared" si="85"/>
        <v>33.743810000000003</v>
      </c>
      <c r="P120" s="167">
        <f t="shared" si="107"/>
        <v>40.78</v>
      </c>
      <c r="Q120" s="168">
        <f t="shared" si="101"/>
        <v>8015.2753999999995</v>
      </c>
      <c r="R120" s="169">
        <f t="shared" si="102"/>
        <v>38400.455780000004</v>
      </c>
      <c r="S120" s="169">
        <f t="shared" si="103"/>
        <v>46415.73</v>
      </c>
      <c r="T120" s="161">
        <f t="shared" si="104"/>
        <v>1.8328849887714018E-2</v>
      </c>
    </row>
    <row r="121" spans="2:20" x14ac:dyDescent="0.25">
      <c r="B121" s="162"/>
      <c r="C121" s="160"/>
      <c r="D121" s="171"/>
      <c r="E121" s="163"/>
      <c r="F121" s="160"/>
      <c r="G121" s="164"/>
      <c r="H121" s="165"/>
      <c r="I121" s="166"/>
      <c r="J121" s="167"/>
      <c r="K121" s="168"/>
      <c r="L121" s="169"/>
      <c r="M121" s="170"/>
      <c r="N121" s="165"/>
      <c r="O121" s="166"/>
      <c r="P121" s="167"/>
      <c r="Q121" s="168"/>
      <c r="R121" s="169"/>
      <c r="S121" s="169"/>
      <c r="T121" s="161"/>
    </row>
    <row r="122" spans="2:20" x14ac:dyDescent="0.25">
      <c r="B122" s="327">
        <v>11</v>
      </c>
      <c r="C122" s="352"/>
      <c r="D122" s="352"/>
      <c r="E122" s="329" t="s">
        <v>967</v>
      </c>
      <c r="F122" s="337"/>
      <c r="G122" s="353"/>
      <c r="H122" s="336"/>
      <c r="I122" s="337"/>
      <c r="J122" s="338">
        <f t="shared" si="98"/>
        <v>0</v>
      </c>
      <c r="K122" s="391">
        <f>SUM(K123:K128)</f>
        <v>806.06000000000006</v>
      </c>
      <c r="L122" s="391">
        <f>SUM(L123:L128)</f>
        <v>33308.079999999994</v>
      </c>
      <c r="M122" s="391">
        <f>SUM(M123:M128)</f>
        <v>34114.14</v>
      </c>
      <c r="N122" s="392">
        <f t="shared" si="85"/>
        <v>0</v>
      </c>
      <c r="O122" s="354">
        <f t="shared" si="85"/>
        <v>0</v>
      </c>
      <c r="P122" s="355">
        <f t="shared" si="100"/>
        <v>0</v>
      </c>
      <c r="Q122" s="391">
        <f>SUM(Q123:Q128)</f>
        <v>1032.240436</v>
      </c>
      <c r="R122" s="391">
        <f>SUM(R123:R128)</f>
        <v>42654.327247999994</v>
      </c>
      <c r="S122" s="391">
        <f>SUM(S123:S128)</f>
        <v>43686.540000000008</v>
      </c>
      <c r="T122" s="334">
        <f>+S122/$S$212</f>
        <v>1.7251135202949821E-2</v>
      </c>
    </row>
    <row r="123" spans="2:20" ht="38.25" x14ac:dyDescent="0.25">
      <c r="B123" s="162" t="s">
        <v>966</v>
      </c>
      <c r="C123" s="160">
        <v>101879</v>
      </c>
      <c r="D123" s="171" t="s">
        <v>31</v>
      </c>
      <c r="E123" s="163" t="s">
        <v>969</v>
      </c>
      <c r="F123" s="160" t="s">
        <v>22</v>
      </c>
      <c r="G123" s="164">
        <v>18</v>
      </c>
      <c r="H123" s="165">
        <v>17.760000000000002</v>
      </c>
      <c r="I123" s="166">
        <v>641.92999999999995</v>
      </c>
      <c r="J123" s="167">
        <f>TRUNC(SUM(H123:I123),2)</f>
        <v>659.69</v>
      </c>
      <c r="K123" s="168">
        <f>+H123*G123</f>
        <v>319.68</v>
      </c>
      <c r="L123" s="169">
        <f>+I123*G123</f>
        <v>11554.74</v>
      </c>
      <c r="M123" s="170">
        <f t="shared" ref="M123:M128" si="108">TRUNC(SUM(K123:L123),2)</f>
        <v>11874.42</v>
      </c>
      <c r="N123" s="165">
        <f t="shared" si="85"/>
        <v>22.743456000000002</v>
      </c>
      <c r="O123" s="166">
        <f t="shared" si="85"/>
        <v>822.05555799999991</v>
      </c>
      <c r="P123" s="167">
        <f>TRUNC(SUM(N123:O123),2)</f>
        <v>844.79</v>
      </c>
      <c r="Q123" s="168">
        <f>+N123*G123</f>
        <v>409.38220800000005</v>
      </c>
      <c r="R123" s="169">
        <f>+O123*G123</f>
        <v>14797.000043999999</v>
      </c>
      <c r="S123" s="169">
        <f>TRUNC(SUM(Q123:R123),2)</f>
        <v>15206.38</v>
      </c>
      <c r="T123" s="161">
        <f t="shared" ref="T123:T128" si="109">+S123/$S$212</f>
        <v>6.004762961942787E-3</v>
      </c>
    </row>
    <row r="124" spans="2:20" ht="38.25" x14ac:dyDescent="0.25">
      <c r="B124" s="162" t="s">
        <v>1458</v>
      </c>
      <c r="C124" s="160" t="s">
        <v>1280</v>
      </c>
      <c r="D124" s="171" t="s">
        <v>125</v>
      </c>
      <c r="E124" s="163" t="s">
        <v>1281</v>
      </c>
      <c r="F124" s="160" t="s">
        <v>22</v>
      </c>
      <c r="G124" s="164">
        <v>1</v>
      </c>
      <c r="H124" s="165">
        <v>194.01</v>
      </c>
      <c r="I124" s="166">
        <v>8157.28</v>
      </c>
      <c r="J124" s="167">
        <f>TRUNC(SUM(H124:I124),2)</f>
        <v>8351.2900000000009</v>
      </c>
      <c r="K124" s="168">
        <f>+H124*G124</f>
        <v>194.01</v>
      </c>
      <c r="L124" s="169">
        <f>+I124*G124</f>
        <v>8157.28</v>
      </c>
      <c r="M124" s="170">
        <f t="shared" si="108"/>
        <v>8351.2900000000009</v>
      </c>
      <c r="N124" s="165">
        <f t="shared" si="85"/>
        <v>248.44920599999998</v>
      </c>
      <c r="O124" s="166">
        <f t="shared" si="85"/>
        <v>10446.212767999999</v>
      </c>
      <c r="P124" s="167">
        <f>TRUNC(SUM(N124:O124),2)</f>
        <v>10694.66</v>
      </c>
      <c r="Q124" s="168">
        <f>+N124*G124</f>
        <v>248.44920599999998</v>
      </c>
      <c r="R124" s="169">
        <f>+O124*G124</f>
        <v>10446.212767999999</v>
      </c>
      <c r="S124" s="169">
        <f>TRUNC(SUM(Q124:R124),2)</f>
        <v>10694.66</v>
      </c>
      <c r="T124" s="161">
        <f t="shared" si="109"/>
        <v>4.2231549033084174E-3</v>
      </c>
    </row>
    <row r="125" spans="2:20" ht="51" x14ac:dyDescent="0.25">
      <c r="B125" s="162" t="s">
        <v>1459</v>
      </c>
      <c r="C125" s="160" t="s">
        <v>1290</v>
      </c>
      <c r="D125" s="171" t="s">
        <v>125</v>
      </c>
      <c r="E125" s="163" t="s">
        <v>1356</v>
      </c>
      <c r="F125" s="160" t="s">
        <v>22</v>
      </c>
      <c r="G125" s="164">
        <v>3</v>
      </c>
      <c r="H125" s="165">
        <v>17.59</v>
      </c>
      <c r="I125" s="166">
        <v>2407.69</v>
      </c>
      <c r="J125" s="167">
        <f t="shared" ref="J125:J128" si="110">TRUNC(SUM(H125:I125),2)</f>
        <v>2425.2800000000002</v>
      </c>
      <c r="K125" s="168">
        <f t="shared" ref="K125:K128" si="111">+H125*G125</f>
        <v>52.769999999999996</v>
      </c>
      <c r="L125" s="169">
        <f t="shared" ref="L125:L128" si="112">+I125*G125</f>
        <v>7223.07</v>
      </c>
      <c r="M125" s="170">
        <f t="shared" si="108"/>
        <v>7275.84</v>
      </c>
      <c r="N125" s="165">
        <f t="shared" si="85"/>
        <v>22.525753999999999</v>
      </c>
      <c r="O125" s="166">
        <f t="shared" si="85"/>
        <v>3083.2878139999998</v>
      </c>
      <c r="P125" s="167">
        <f t="shared" ref="P125:P127" si="113">TRUNC(SUM(N125:O125),2)</f>
        <v>3105.81</v>
      </c>
      <c r="Q125" s="168">
        <f t="shared" ref="Q125:Q128" si="114">+N125*G125</f>
        <v>67.57726199999999</v>
      </c>
      <c r="R125" s="169">
        <f t="shared" ref="R125:R128" si="115">+O125*G125</f>
        <v>9249.8634419999998</v>
      </c>
      <c r="S125" s="169">
        <f t="shared" ref="S125:S128" si="116">TRUNC(SUM(Q125:R125),2)</f>
        <v>9317.44</v>
      </c>
      <c r="T125" s="161">
        <f t="shared" si="109"/>
        <v>3.6793121447789815E-3</v>
      </c>
    </row>
    <row r="126" spans="2:20" ht="38.25" x14ac:dyDescent="0.25">
      <c r="B126" s="162" t="s">
        <v>1279</v>
      </c>
      <c r="C126" s="160" t="s">
        <v>1292</v>
      </c>
      <c r="D126" s="171" t="s">
        <v>125</v>
      </c>
      <c r="E126" s="163" t="s">
        <v>1293</v>
      </c>
      <c r="F126" s="160" t="s">
        <v>22</v>
      </c>
      <c r="G126" s="164">
        <v>2</v>
      </c>
      <c r="H126" s="165">
        <v>17.72</v>
      </c>
      <c r="I126" s="166">
        <v>2530.06</v>
      </c>
      <c r="J126" s="167">
        <f t="shared" si="110"/>
        <v>2547.7800000000002</v>
      </c>
      <c r="K126" s="168">
        <f t="shared" si="111"/>
        <v>35.44</v>
      </c>
      <c r="L126" s="169">
        <f t="shared" si="112"/>
        <v>5060.12</v>
      </c>
      <c r="M126" s="170">
        <f t="shared" si="108"/>
        <v>5095.5600000000004</v>
      </c>
      <c r="N126" s="165">
        <f t="shared" si="85"/>
        <v>22.692231999999997</v>
      </c>
      <c r="O126" s="166">
        <f t="shared" si="85"/>
        <v>3239.9948359999999</v>
      </c>
      <c r="P126" s="167">
        <f t="shared" si="113"/>
        <v>3262.68</v>
      </c>
      <c r="Q126" s="168">
        <f t="shared" si="114"/>
        <v>45.384463999999994</v>
      </c>
      <c r="R126" s="169">
        <f t="shared" si="115"/>
        <v>6479.9896719999997</v>
      </c>
      <c r="S126" s="169">
        <f t="shared" si="116"/>
        <v>6525.37</v>
      </c>
      <c r="T126" s="161">
        <f t="shared" si="109"/>
        <v>2.5767671259676926E-3</v>
      </c>
    </row>
    <row r="127" spans="2:20" ht="38.25" x14ac:dyDescent="0.25">
      <c r="B127" s="162" t="s">
        <v>1294</v>
      </c>
      <c r="C127" s="160" t="s">
        <v>1360</v>
      </c>
      <c r="D127" s="171" t="s">
        <v>125</v>
      </c>
      <c r="E127" s="163" t="s">
        <v>1361</v>
      </c>
      <c r="F127" s="160" t="s">
        <v>22</v>
      </c>
      <c r="G127" s="164">
        <v>1</v>
      </c>
      <c r="H127" s="165">
        <v>17.760000000000002</v>
      </c>
      <c r="I127" s="166">
        <v>899.77</v>
      </c>
      <c r="J127" s="167">
        <f t="shared" si="110"/>
        <v>917.53</v>
      </c>
      <c r="K127" s="168">
        <f t="shared" si="111"/>
        <v>17.760000000000002</v>
      </c>
      <c r="L127" s="169">
        <f t="shared" si="112"/>
        <v>899.77</v>
      </c>
      <c r="M127" s="170">
        <f t="shared" si="108"/>
        <v>917.53</v>
      </c>
      <c r="N127" s="165">
        <f t="shared" si="85"/>
        <v>22.743456000000002</v>
      </c>
      <c r="O127" s="166">
        <f t="shared" si="85"/>
        <v>1152.2454619999999</v>
      </c>
      <c r="P127" s="167">
        <f t="shared" si="113"/>
        <v>1174.98</v>
      </c>
      <c r="Q127" s="168">
        <f t="shared" si="114"/>
        <v>22.743456000000002</v>
      </c>
      <c r="R127" s="169">
        <f t="shared" si="115"/>
        <v>1152.2454619999999</v>
      </c>
      <c r="S127" s="169">
        <f t="shared" si="116"/>
        <v>1174.98</v>
      </c>
      <c r="T127" s="161">
        <f t="shared" si="109"/>
        <v>4.6398132790470423E-4</v>
      </c>
    </row>
    <row r="128" spans="2:20" ht="25.5" x14ac:dyDescent="0.25">
      <c r="B128" s="162" t="s">
        <v>1295</v>
      </c>
      <c r="C128" s="160" t="s">
        <v>1395</v>
      </c>
      <c r="D128" s="171" t="s">
        <v>1396</v>
      </c>
      <c r="E128" s="163" t="s">
        <v>1397</v>
      </c>
      <c r="F128" s="160" t="s">
        <v>22</v>
      </c>
      <c r="G128" s="164">
        <v>10</v>
      </c>
      <c r="H128" s="165">
        <v>18.64</v>
      </c>
      <c r="I128" s="166">
        <v>41.31</v>
      </c>
      <c r="J128" s="167">
        <f t="shared" si="110"/>
        <v>59.95</v>
      </c>
      <c r="K128" s="168">
        <f t="shared" si="111"/>
        <v>186.4</v>
      </c>
      <c r="L128" s="169">
        <f t="shared" si="112"/>
        <v>413.1</v>
      </c>
      <c r="M128" s="170">
        <f t="shared" si="108"/>
        <v>599.5</v>
      </c>
      <c r="N128" s="165">
        <f t="shared" si="85"/>
        <v>23.870384000000001</v>
      </c>
      <c r="O128" s="166">
        <f t="shared" si="85"/>
        <v>52.901586000000002</v>
      </c>
      <c r="P128" s="167">
        <f>TRUNC(SUM(N128:O128),2)</f>
        <v>76.77</v>
      </c>
      <c r="Q128" s="168">
        <f t="shared" si="114"/>
        <v>238.70384000000001</v>
      </c>
      <c r="R128" s="169">
        <f t="shared" si="115"/>
        <v>529.01585999999998</v>
      </c>
      <c r="S128" s="169">
        <f t="shared" si="116"/>
        <v>767.71</v>
      </c>
      <c r="T128" s="161">
        <f t="shared" si="109"/>
        <v>3.0315673904723526E-4</v>
      </c>
    </row>
    <row r="129" spans="2:20" x14ac:dyDescent="0.25">
      <c r="B129" s="162"/>
      <c r="C129" s="160"/>
      <c r="D129" s="171"/>
      <c r="E129" s="163"/>
      <c r="F129" s="160"/>
      <c r="G129" s="164"/>
      <c r="H129" s="165"/>
      <c r="I129" s="166"/>
      <c r="J129" s="167"/>
      <c r="K129" s="168"/>
      <c r="L129" s="168"/>
      <c r="M129" s="426"/>
      <c r="N129" s="165"/>
      <c r="O129" s="166"/>
      <c r="P129" s="167"/>
      <c r="Q129" s="168"/>
      <c r="R129" s="168"/>
      <c r="S129" s="168"/>
      <c r="T129" s="161"/>
    </row>
    <row r="130" spans="2:20" x14ac:dyDescent="0.25">
      <c r="B130" s="327">
        <v>12</v>
      </c>
      <c r="C130" s="328"/>
      <c r="D130" s="328"/>
      <c r="E130" s="329" t="s">
        <v>970</v>
      </c>
      <c r="F130" s="330"/>
      <c r="G130" s="331"/>
      <c r="H130" s="332"/>
      <c r="I130" s="330"/>
      <c r="J130" s="333">
        <f t="shared" ref="J130:J144" si="117">TRUNC(SUM(H130:I130),2)</f>
        <v>0</v>
      </c>
      <c r="K130" s="391">
        <f>K131+K134+K139+K144+K154+K158+K161+K167+K180+K193+K205</f>
        <v>186139.07299999997</v>
      </c>
      <c r="L130" s="391">
        <f>L131+L134+L139+L144+L154+L158+L161+L167+L180+L193+L205</f>
        <v>497709.18199999997</v>
      </c>
      <c r="M130" s="391">
        <f>M131+M134+M139+M144+M154+M158+M161+M167+M180+M193+M205</f>
        <v>683848.25</v>
      </c>
      <c r="N130" s="396">
        <f t="shared" si="85"/>
        <v>0</v>
      </c>
      <c r="O130" s="350">
        <f t="shared" si="85"/>
        <v>0</v>
      </c>
      <c r="P130" s="351">
        <f t="shared" ref="P130:P144" si="118">TRUNC(SUM(N130:O130),2)</f>
        <v>0</v>
      </c>
      <c r="Q130" s="391">
        <f>Q131+Q134+Q139+Q144+Q154+Q158+Q161+Q167+Q180+Q193+Q205</f>
        <v>238369.69688380003</v>
      </c>
      <c r="R130" s="391">
        <f>R131+R134+R139+R144+R154+R158+R161+R167+R180+R193+R205</f>
        <v>637366.37846919999</v>
      </c>
      <c r="S130" s="391">
        <f>S131+S134+S139+S144+S154+S158+S161+S167+S180+S193+S205</f>
        <v>875735.78999999992</v>
      </c>
      <c r="T130" s="334">
        <f>+S130/$S$212</f>
        <v>0.34581444342701589</v>
      </c>
    </row>
    <row r="131" spans="2:20" x14ac:dyDescent="0.25">
      <c r="B131" s="339" t="s">
        <v>972</v>
      </c>
      <c r="C131" s="340"/>
      <c r="D131" s="340"/>
      <c r="E131" s="341" t="s">
        <v>971</v>
      </c>
      <c r="F131" s="342"/>
      <c r="G131" s="343"/>
      <c r="H131" s="344"/>
      <c r="I131" s="342"/>
      <c r="J131" s="345"/>
      <c r="K131" s="393">
        <f>SUM(K132:K133)</f>
        <v>2597.56</v>
      </c>
      <c r="L131" s="393">
        <f t="shared" ref="L131:M131" si="119">SUM(L132:L133)</f>
        <v>66163.72</v>
      </c>
      <c r="M131" s="393">
        <f t="shared" si="119"/>
        <v>68761.279999999999</v>
      </c>
      <c r="N131" s="394"/>
      <c r="O131" s="348"/>
      <c r="P131" s="349"/>
      <c r="Q131" s="393">
        <f>SUM(Q132:Q133)</f>
        <v>3326.435336</v>
      </c>
      <c r="R131" s="393">
        <f t="shared" ref="R131:S131" si="120">SUM(R132:R133)</f>
        <v>84729.259831999996</v>
      </c>
      <c r="S131" s="393">
        <f t="shared" si="120"/>
        <v>88055.69</v>
      </c>
      <c r="T131" s="346">
        <f>+S131/$S$212</f>
        <v>3.4771822478480471E-2</v>
      </c>
    </row>
    <row r="132" spans="2:20" ht="25.5" x14ac:dyDescent="0.25">
      <c r="B132" s="162" t="s">
        <v>973</v>
      </c>
      <c r="C132" s="160" t="s">
        <v>769</v>
      </c>
      <c r="D132" s="171" t="s">
        <v>31</v>
      </c>
      <c r="E132" s="163" t="s">
        <v>770</v>
      </c>
      <c r="F132" s="160" t="s">
        <v>35</v>
      </c>
      <c r="G132" s="164">
        <v>17188</v>
      </c>
      <c r="H132" s="165">
        <v>0.12</v>
      </c>
      <c r="I132" s="166">
        <v>3.69</v>
      </c>
      <c r="J132" s="167">
        <f t="shared" ref="J132:J138" si="121">TRUNC(SUM(H132:I132),2)</f>
        <v>3.81</v>
      </c>
      <c r="K132" s="168">
        <f t="shared" ref="K132:K153" si="122">+H132*G132</f>
        <v>2062.56</v>
      </c>
      <c r="L132" s="169">
        <f t="shared" ref="L132:L153" si="123">+I132*G132</f>
        <v>63423.72</v>
      </c>
      <c r="M132" s="170">
        <f t="shared" ref="M132:M138" si="124">TRUNC(SUM(K132:L132),2)</f>
        <v>65486.28</v>
      </c>
      <c r="N132" s="165">
        <f t="shared" si="85"/>
        <v>0.153672</v>
      </c>
      <c r="O132" s="166">
        <f t="shared" si="85"/>
        <v>4.7254139999999998</v>
      </c>
      <c r="P132" s="167">
        <f t="shared" ref="P132:P139" si="125">TRUNC(SUM(N132:O132),2)</f>
        <v>4.87</v>
      </c>
      <c r="Q132" s="168">
        <f t="shared" ref="Q132:Q138" si="126">+N132*G132</f>
        <v>2641.3143359999999</v>
      </c>
      <c r="R132" s="169">
        <f t="shared" ref="R132:R138" si="127">+O132*G132</f>
        <v>81220.415831999999</v>
      </c>
      <c r="S132" s="169">
        <f t="shared" ref="S132:S138" si="128">TRUNC(SUM(Q132:R132),2)</f>
        <v>83861.73</v>
      </c>
      <c r="T132" s="161">
        <f t="shared" ref="T132:T133" si="129">+S132/$S$212</f>
        <v>3.3115692901824513E-2</v>
      </c>
    </row>
    <row r="133" spans="2:20" x14ac:dyDescent="0.25">
      <c r="B133" s="162" t="s">
        <v>974</v>
      </c>
      <c r="C133" s="160" t="s">
        <v>975</v>
      </c>
      <c r="D133" s="171" t="s">
        <v>214</v>
      </c>
      <c r="E133" s="163" t="s">
        <v>976</v>
      </c>
      <c r="F133" s="160" t="s">
        <v>35</v>
      </c>
      <c r="G133" s="164">
        <v>500</v>
      </c>
      <c r="H133" s="165">
        <v>1.07</v>
      </c>
      <c r="I133" s="166">
        <v>5.48</v>
      </c>
      <c r="J133" s="167">
        <f t="shared" si="121"/>
        <v>6.55</v>
      </c>
      <c r="K133" s="168">
        <f t="shared" si="122"/>
        <v>535</v>
      </c>
      <c r="L133" s="169">
        <f t="shared" si="123"/>
        <v>2740</v>
      </c>
      <c r="M133" s="170">
        <f t="shared" si="124"/>
        <v>3275</v>
      </c>
      <c r="N133" s="165">
        <f t="shared" si="85"/>
        <v>1.370242</v>
      </c>
      <c r="O133" s="166">
        <f t="shared" si="85"/>
        <v>7.0176880000000006</v>
      </c>
      <c r="P133" s="167">
        <f t="shared" si="125"/>
        <v>8.3800000000000008</v>
      </c>
      <c r="Q133" s="168">
        <f t="shared" si="126"/>
        <v>685.12099999999998</v>
      </c>
      <c r="R133" s="169">
        <f t="shared" si="127"/>
        <v>3508.8440000000005</v>
      </c>
      <c r="S133" s="169">
        <f t="shared" si="128"/>
        <v>4193.96</v>
      </c>
      <c r="T133" s="161">
        <f t="shared" si="129"/>
        <v>1.6561295766559544E-3</v>
      </c>
    </row>
    <row r="134" spans="2:20" x14ac:dyDescent="0.25">
      <c r="B134" s="339" t="s">
        <v>978</v>
      </c>
      <c r="C134" s="357"/>
      <c r="D134" s="358"/>
      <c r="E134" s="341" t="s">
        <v>977</v>
      </c>
      <c r="F134" s="340"/>
      <c r="G134" s="356"/>
      <c r="H134" s="347"/>
      <c r="I134" s="348"/>
      <c r="J134" s="349">
        <f t="shared" si="121"/>
        <v>0</v>
      </c>
      <c r="K134" s="393">
        <f>SUM(K135:K138)</f>
        <v>2462.5400000000004</v>
      </c>
      <c r="L134" s="393">
        <f t="shared" ref="L134:M134" si="130">SUM(L135:L138)</f>
        <v>2153.4700000000003</v>
      </c>
      <c r="M134" s="393">
        <f t="shared" si="130"/>
        <v>4616.01</v>
      </c>
      <c r="N134" s="394">
        <f t="shared" si="85"/>
        <v>0</v>
      </c>
      <c r="O134" s="348">
        <f t="shared" si="85"/>
        <v>0</v>
      </c>
      <c r="P134" s="349">
        <f t="shared" si="125"/>
        <v>0</v>
      </c>
      <c r="Q134" s="393">
        <f>SUM(Q135:Q138)</f>
        <v>3153.5287239999998</v>
      </c>
      <c r="R134" s="393">
        <f t="shared" ref="R134:S134" si="131">SUM(R135:R138)</f>
        <v>2757.733682</v>
      </c>
      <c r="S134" s="393">
        <f t="shared" si="131"/>
        <v>5911.25</v>
      </c>
      <c r="T134" s="346">
        <f>+S134/$S$212</f>
        <v>2.3342606891833756E-3</v>
      </c>
    </row>
    <row r="135" spans="2:20" x14ac:dyDescent="0.25">
      <c r="B135" s="162" t="s">
        <v>979</v>
      </c>
      <c r="C135" s="160" t="s">
        <v>864</v>
      </c>
      <c r="D135" s="171" t="s">
        <v>865</v>
      </c>
      <c r="E135" s="163" t="s">
        <v>866</v>
      </c>
      <c r="F135" s="160" t="s">
        <v>22</v>
      </c>
      <c r="G135" s="164">
        <v>177</v>
      </c>
      <c r="H135" s="165">
        <v>4.88</v>
      </c>
      <c r="I135" s="166">
        <v>5.29</v>
      </c>
      <c r="J135" s="167">
        <f t="shared" si="121"/>
        <v>10.17</v>
      </c>
      <c r="K135" s="168">
        <f t="shared" si="122"/>
        <v>863.76</v>
      </c>
      <c r="L135" s="169">
        <f t="shared" si="123"/>
        <v>936.33</v>
      </c>
      <c r="M135" s="170">
        <f t="shared" si="124"/>
        <v>1800.09</v>
      </c>
      <c r="N135" s="165">
        <f t="shared" si="85"/>
        <v>6.2493279999999993</v>
      </c>
      <c r="O135" s="166">
        <f t="shared" si="85"/>
        <v>6.7743739999999999</v>
      </c>
      <c r="P135" s="167">
        <f t="shared" si="125"/>
        <v>13.02</v>
      </c>
      <c r="Q135" s="168">
        <f t="shared" si="126"/>
        <v>1106.1310559999999</v>
      </c>
      <c r="R135" s="169">
        <f t="shared" si="127"/>
        <v>1199.064198</v>
      </c>
      <c r="S135" s="169">
        <f t="shared" si="128"/>
        <v>2305.19</v>
      </c>
      <c r="T135" s="161">
        <f t="shared" ref="T135:T138" si="132">+S135/$S$212</f>
        <v>9.1028367910317204E-4</v>
      </c>
    </row>
    <row r="136" spans="2:20" ht="25.5" x14ac:dyDescent="0.25">
      <c r="B136" s="162" t="s">
        <v>980</v>
      </c>
      <c r="C136" s="160" t="s">
        <v>765</v>
      </c>
      <c r="D136" s="171" t="s">
        <v>125</v>
      </c>
      <c r="E136" s="163" t="s">
        <v>452</v>
      </c>
      <c r="F136" s="160" t="s">
        <v>22</v>
      </c>
      <c r="G136" s="164">
        <v>48</v>
      </c>
      <c r="H136" s="165">
        <v>7.7</v>
      </c>
      <c r="I136" s="166">
        <v>4.92</v>
      </c>
      <c r="J136" s="167">
        <f t="shared" si="121"/>
        <v>12.62</v>
      </c>
      <c r="K136" s="168">
        <f t="shared" si="122"/>
        <v>369.6</v>
      </c>
      <c r="L136" s="169">
        <f t="shared" si="123"/>
        <v>236.16</v>
      </c>
      <c r="M136" s="170">
        <f t="shared" si="124"/>
        <v>605.76</v>
      </c>
      <c r="N136" s="165">
        <f t="shared" si="85"/>
        <v>9.8606199999999991</v>
      </c>
      <c r="O136" s="166">
        <f t="shared" si="85"/>
        <v>6.3005519999999997</v>
      </c>
      <c r="P136" s="167">
        <f t="shared" si="125"/>
        <v>16.16</v>
      </c>
      <c r="Q136" s="168">
        <f t="shared" si="126"/>
        <v>473.30975999999998</v>
      </c>
      <c r="R136" s="169">
        <f t="shared" si="127"/>
        <v>302.42649599999999</v>
      </c>
      <c r="S136" s="169">
        <f t="shared" si="128"/>
        <v>775.73</v>
      </c>
      <c r="T136" s="161">
        <f t="shared" si="132"/>
        <v>3.063237123146915E-4</v>
      </c>
    </row>
    <row r="137" spans="2:20" x14ac:dyDescent="0.25">
      <c r="B137" s="162" t="s">
        <v>981</v>
      </c>
      <c r="C137" s="160" t="s">
        <v>307</v>
      </c>
      <c r="D137" s="171" t="s">
        <v>214</v>
      </c>
      <c r="E137" s="163" t="s">
        <v>308</v>
      </c>
      <c r="F137" s="160" t="s">
        <v>22</v>
      </c>
      <c r="G137" s="164">
        <v>1</v>
      </c>
      <c r="H137" s="165">
        <v>7.88</v>
      </c>
      <c r="I137" s="166">
        <v>12.22</v>
      </c>
      <c r="J137" s="167">
        <f t="shared" si="121"/>
        <v>20.100000000000001</v>
      </c>
      <c r="K137" s="168">
        <f t="shared" si="122"/>
        <v>7.88</v>
      </c>
      <c r="L137" s="169">
        <f t="shared" si="123"/>
        <v>12.22</v>
      </c>
      <c r="M137" s="170">
        <f t="shared" si="124"/>
        <v>20.100000000000001</v>
      </c>
      <c r="N137" s="165">
        <f t="shared" si="85"/>
        <v>10.091127999999999</v>
      </c>
      <c r="O137" s="166">
        <f t="shared" si="85"/>
        <v>15.648932</v>
      </c>
      <c r="P137" s="167">
        <f t="shared" si="125"/>
        <v>25.74</v>
      </c>
      <c r="Q137" s="168">
        <f t="shared" si="126"/>
        <v>10.091127999999999</v>
      </c>
      <c r="R137" s="169">
        <f t="shared" si="127"/>
        <v>15.648932</v>
      </c>
      <c r="S137" s="169">
        <f t="shared" si="128"/>
        <v>25.74</v>
      </c>
      <c r="T137" s="161">
        <f t="shared" si="132"/>
        <v>1.0164325673855798E-5</v>
      </c>
    </row>
    <row r="138" spans="2:20" x14ac:dyDescent="0.25">
      <c r="B138" s="162" t="s">
        <v>982</v>
      </c>
      <c r="C138" s="160" t="s">
        <v>766</v>
      </c>
      <c r="D138" s="171" t="s">
        <v>125</v>
      </c>
      <c r="E138" s="163" t="s">
        <v>455</v>
      </c>
      <c r="F138" s="160" t="s">
        <v>22</v>
      </c>
      <c r="G138" s="164">
        <v>414</v>
      </c>
      <c r="H138" s="165">
        <v>2.95</v>
      </c>
      <c r="I138" s="166">
        <v>2.34</v>
      </c>
      <c r="J138" s="167">
        <f t="shared" si="121"/>
        <v>5.29</v>
      </c>
      <c r="K138" s="168">
        <f t="shared" si="122"/>
        <v>1221.3000000000002</v>
      </c>
      <c r="L138" s="169">
        <f t="shared" si="123"/>
        <v>968.76</v>
      </c>
      <c r="M138" s="170">
        <f t="shared" si="124"/>
        <v>2190.06</v>
      </c>
      <c r="N138" s="165">
        <f t="shared" si="85"/>
        <v>3.7777700000000003</v>
      </c>
      <c r="O138" s="166">
        <f t="shared" si="85"/>
        <v>2.9966039999999996</v>
      </c>
      <c r="P138" s="167">
        <f t="shared" si="125"/>
        <v>6.77</v>
      </c>
      <c r="Q138" s="168">
        <f t="shared" si="126"/>
        <v>1563.9967800000002</v>
      </c>
      <c r="R138" s="169">
        <f t="shared" si="127"/>
        <v>1240.5940559999999</v>
      </c>
      <c r="S138" s="169">
        <f t="shared" si="128"/>
        <v>2804.59</v>
      </c>
      <c r="T138" s="161">
        <f t="shared" si="132"/>
        <v>1.1074889720916563E-3</v>
      </c>
    </row>
    <row r="139" spans="2:20" x14ac:dyDescent="0.25">
      <c r="B139" s="339" t="s">
        <v>983</v>
      </c>
      <c r="C139" s="357"/>
      <c r="D139" s="358"/>
      <c r="E139" s="341" t="s">
        <v>984</v>
      </c>
      <c r="F139" s="340"/>
      <c r="G139" s="356"/>
      <c r="H139" s="347"/>
      <c r="I139" s="348"/>
      <c r="J139" s="349">
        <f t="shared" ref="J139" si="133">TRUNC(SUM(H139:I139),2)</f>
        <v>0</v>
      </c>
      <c r="K139" s="393">
        <f>SUM(K140:K143)</f>
        <v>582</v>
      </c>
      <c r="L139" s="393">
        <f t="shared" ref="L139:M139" si="134">SUM(L140:L143)</f>
        <v>1002.89</v>
      </c>
      <c r="M139" s="393">
        <f t="shared" si="134"/>
        <v>1584.8899999999999</v>
      </c>
      <c r="N139" s="394">
        <f t="shared" si="85"/>
        <v>0</v>
      </c>
      <c r="O139" s="348">
        <f t="shared" si="85"/>
        <v>0</v>
      </c>
      <c r="P139" s="349">
        <f t="shared" si="125"/>
        <v>0</v>
      </c>
      <c r="Q139" s="393">
        <f>SUM(Q140:Q143)</f>
        <v>745.30919999999992</v>
      </c>
      <c r="R139" s="393">
        <f t="shared" ref="R139:S139" si="135">SUM(R140:R143)</f>
        <v>1284.3009339999999</v>
      </c>
      <c r="S139" s="393">
        <f t="shared" si="135"/>
        <v>2029.5800000000004</v>
      </c>
      <c r="T139" s="346">
        <f>+S139/$S$212</f>
        <v>8.0144957657903092E-4</v>
      </c>
    </row>
    <row r="140" spans="2:20" x14ac:dyDescent="0.25">
      <c r="B140" s="162" t="s">
        <v>985</v>
      </c>
      <c r="C140" s="160" t="s">
        <v>867</v>
      </c>
      <c r="D140" s="171" t="s">
        <v>31</v>
      </c>
      <c r="E140" s="163" t="s">
        <v>868</v>
      </c>
      <c r="F140" s="160" t="s">
        <v>22</v>
      </c>
      <c r="G140" s="164">
        <v>31</v>
      </c>
      <c r="H140" s="165">
        <v>4.4400000000000004</v>
      </c>
      <c r="I140" s="166">
        <v>4.17</v>
      </c>
      <c r="J140" s="167">
        <f t="shared" si="117"/>
        <v>8.61</v>
      </c>
      <c r="K140" s="168">
        <f t="shared" si="122"/>
        <v>137.64000000000001</v>
      </c>
      <c r="L140" s="169">
        <f t="shared" si="123"/>
        <v>129.27000000000001</v>
      </c>
      <c r="M140" s="170">
        <f t="shared" ref="M140:M179" si="136">TRUNC(SUM(K140:L140),2)</f>
        <v>266.91000000000003</v>
      </c>
      <c r="N140" s="165">
        <f t="shared" si="85"/>
        <v>5.6858640000000005</v>
      </c>
      <c r="O140" s="166">
        <f t="shared" si="85"/>
        <v>5.3401019999999999</v>
      </c>
      <c r="P140" s="167">
        <f t="shared" si="118"/>
        <v>11.02</v>
      </c>
      <c r="Q140" s="168">
        <f t="shared" ref="Q140:Q143" si="137">+N140*G140</f>
        <v>176.26178400000001</v>
      </c>
      <c r="R140" s="169">
        <f t="shared" ref="R140:R143" si="138">+O140*G140</f>
        <v>165.543162</v>
      </c>
      <c r="S140" s="169">
        <f t="shared" ref="S140:S143" si="139">TRUNC(SUM(Q140:R140),2)</f>
        <v>341.8</v>
      </c>
      <c r="T140" s="161">
        <f t="shared" ref="T140:T143" si="140">+S140/$S$212</f>
        <v>1.3497150409183807E-4</v>
      </c>
    </row>
    <row r="141" spans="2:20" ht="25.5" x14ac:dyDescent="0.25">
      <c r="B141" s="162" t="s">
        <v>986</v>
      </c>
      <c r="C141" s="160" t="s">
        <v>987</v>
      </c>
      <c r="D141" s="171" t="s">
        <v>214</v>
      </c>
      <c r="E141" s="163" t="s">
        <v>988</v>
      </c>
      <c r="F141" s="160" t="s">
        <v>35</v>
      </c>
      <c r="G141" s="164">
        <v>4</v>
      </c>
      <c r="H141" s="165">
        <v>11.97</v>
      </c>
      <c r="I141" s="166">
        <v>34.5</v>
      </c>
      <c r="J141" s="167">
        <f t="shared" si="117"/>
        <v>46.47</v>
      </c>
      <c r="K141" s="168">
        <f t="shared" si="122"/>
        <v>47.88</v>
      </c>
      <c r="L141" s="169">
        <f t="shared" si="123"/>
        <v>138</v>
      </c>
      <c r="M141" s="170">
        <f t="shared" si="136"/>
        <v>185.88</v>
      </c>
      <c r="N141" s="165">
        <f t="shared" si="85"/>
        <v>15.328782</v>
      </c>
      <c r="O141" s="166">
        <f t="shared" si="85"/>
        <v>44.180700000000002</v>
      </c>
      <c r="P141" s="167">
        <f t="shared" si="118"/>
        <v>59.5</v>
      </c>
      <c r="Q141" s="168">
        <f t="shared" si="137"/>
        <v>61.315128000000001</v>
      </c>
      <c r="R141" s="169">
        <f t="shared" si="138"/>
        <v>176.72280000000001</v>
      </c>
      <c r="S141" s="169">
        <f t="shared" si="139"/>
        <v>238.03</v>
      </c>
      <c r="T141" s="161">
        <f t="shared" si="140"/>
        <v>9.3994344994090744E-5</v>
      </c>
    </row>
    <row r="142" spans="2:20" x14ac:dyDescent="0.25">
      <c r="B142" s="162" t="s">
        <v>989</v>
      </c>
      <c r="C142" s="160" t="s">
        <v>990</v>
      </c>
      <c r="D142" s="171" t="s">
        <v>214</v>
      </c>
      <c r="E142" s="163" t="s">
        <v>991</v>
      </c>
      <c r="F142" s="160" t="s">
        <v>22</v>
      </c>
      <c r="G142" s="164">
        <v>22</v>
      </c>
      <c r="H142" s="165">
        <v>14.16</v>
      </c>
      <c r="I142" s="166">
        <v>27.17</v>
      </c>
      <c r="J142" s="167">
        <f t="shared" si="117"/>
        <v>41.33</v>
      </c>
      <c r="K142" s="168">
        <f t="shared" si="122"/>
        <v>311.52</v>
      </c>
      <c r="L142" s="169">
        <f t="shared" si="123"/>
        <v>597.74</v>
      </c>
      <c r="M142" s="170">
        <f t="shared" si="136"/>
        <v>909.26</v>
      </c>
      <c r="N142" s="165">
        <f t="shared" si="85"/>
        <v>18.133295999999998</v>
      </c>
      <c r="O142" s="166">
        <f t="shared" si="85"/>
        <v>34.793902000000003</v>
      </c>
      <c r="P142" s="167">
        <f t="shared" si="118"/>
        <v>52.92</v>
      </c>
      <c r="Q142" s="168">
        <f t="shared" si="137"/>
        <v>398.93251199999997</v>
      </c>
      <c r="R142" s="169">
        <f t="shared" si="138"/>
        <v>765.46584400000006</v>
      </c>
      <c r="S142" s="169">
        <f t="shared" si="139"/>
        <v>1164.3900000000001</v>
      </c>
      <c r="T142" s="161">
        <f t="shared" si="140"/>
        <v>4.5979950160765168E-4</v>
      </c>
    </row>
    <row r="143" spans="2:20" x14ac:dyDescent="0.25">
      <c r="B143" s="162" t="s">
        <v>992</v>
      </c>
      <c r="C143" s="160" t="s">
        <v>993</v>
      </c>
      <c r="D143" s="171" t="s">
        <v>214</v>
      </c>
      <c r="E143" s="163" t="s">
        <v>994</v>
      </c>
      <c r="F143" s="160" t="s">
        <v>22</v>
      </c>
      <c r="G143" s="164">
        <v>6</v>
      </c>
      <c r="H143" s="165">
        <v>14.16</v>
      </c>
      <c r="I143" s="166">
        <v>22.98</v>
      </c>
      <c r="J143" s="167">
        <f t="shared" si="117"/>
        <v>37.14</v>
      </c>
      <c r="K143" s="168">
        <f t="shared" si="122"/>
        <v>84.960000000000008</v>
      </c>
      <c r="L143" s="169">
        <f t="shared" si="123"/>
        <v>137.88</v>
      </c>
      <c r="M143" s="170">
        <f t="shared" si="136"/>
        <v>222.84</v>
      </c>
      <c r="N143" s="165">
        <f t="shared" si="85"/>
        <v>18.133295999999998</v>
      </c>
      <c r="O143" s="166">
        <f t="shared" si="85"/>
        <v>29.428187999999999</v>
      </c>
      <c r="P143" s="167">
        <f t="shared" si="118"/>
        <v>47.56</v>
      </c>
      <c r="Q143" s="168">
        <f t="shared" si="137"/>
        <v>108.79977599999998</v>
      </c>
      <c r="R143" s="169">
        <f t="shared" si="138"/>
        <v>176.56912799999998</v>
      </c>
      <c r="S143" s="169">
        <f t="shared" si="139"/>
        <v>285.36</v>
      </c>
      <c r="T143" s="161">
        <f t="shared" si="140"/>
        <v>1.126842258854503E-4</v>
      </c>
    </row>
    <row r="144" spans="2:20" x14ac:dyDescent="0.25">
      <c r="B144" s="339" t="s">
        <v>996</v>
      </c>
      <c r="C144" s="357"/>
      <c r="D144" s="358"/>
      <c r="E144" s="341" t="s">
        <v>995</v>
      </c>
      <c r="F144" s="340"/>
      <c r="G144" s="356"/>
      <c r="H144" s="347"/>
      <c r="I144" s="348"/>
      <c r="J144" s="349">
        <f t="shared" si="117"/>
        <v>0</v>
      </c>
      <c r="K144" s="393">
        <f>SUM(K145:K153)</f>
        <v>18460.39</v>
      </c>
      <c r="L144" s="393">
        <f>SUM(L145:L153)</f>
        <v>24350.58</v>
      </c>
      <c r="M144" s="393">
        <f>SUM(M145:M153)</f>
        <v>42810.97</v>
      </c>
      <c r="N144" s="394">
        <f t="shared" si="85"/>
        <v>0</v>
      </c>
      <c r="O144" s="348">
        <f t="shared" si="85"/>
        <v>0</v>
      </c>
      <c r="P144" s="349">
        <f t="shared" si="118"/>
        <v>0</v>
      </c>
      <c r="Q144" s="393">
        <f>SUM(Q145:Q153)</f>
        <v>23640.375434000001</v>
      </c>
      <c r="R144" s="393">
        <f>SUM(R145:R153)</f>
        <v>31183.352747999994</v>
      </c>
      <c r="S144" s="393">
        <f>SUM(S145:S153)</f>
        <v>54823.68</v>
      </c>
      <c r="T144" s="346">
        <f>+S144/$S$212</f>
        <v>2.164901857650562E-2</v>
      </c>
    </row>
    <row r="145" spans="2:20" x14ac:dyDescent="0.25">
      <c r="B145" s="162" t="s">
        <v>1460</v>
      </c>
      <c r="C145" s="160" t="s">
        <v>1000</v>
      </c>
      <c r="D145" s="171" t="s">
        <v>177</v>
      </c>
      <c r="E145" s="163" t="s">
        <v>838</v>
      </c>
      <c r="F145" s="160" t="s">
        <v>227</v>
      </c>
      <c r="G145" s="164">
        <v>820</v>
      </c>
      <c r="H145" s="165">
        <v>0.27</v>
      </c>
      <c r="I145" s="166">
        <v>0.11</v>
      </c>
      <c r="J145" s="167">
        <f t="shared" ref="J145:J146" si="141">TRUNC(SUM(H145:I145),2)</f>
        <v>0.38</v>
      </c>
      <c r="K145" s="168">
        <f t="shared" si="122"/>
        <v>221.4</v>
      </c>
      <c r="L145" s="169">
        <f t="shared" si="123"/>
        <v>90.2</v>
      </c>
      <c r="M145" s="170">
        <f t="shared" si="136"/>
        <v>311.60000000000002</v>
      </c>
      <c r="N145" s="165">
        <f t="shared" si="85"/>
        <v>0.34576200000000001</v>
      </c>
      <c r="O145" s="166">
        <f t="shared" si="85"/>
        <v>0.14086599999999999</v>
      </c>
      <c r="P145" s="167">
        <f t="shared" ref="P145:P177" si="142">TRUNC(SUM(N145:O145),2)</f>
        <v>0.48</v>
      </c>
      <c r="Q145" s="168">
        <f t="shared" ref="Q145:Q179" si="143">+N145*G145</f>
        <v>283.52483999999998</v>
      </c>
      <c r="R145" s="169">
        <f t="shared" ref="R145:R179" si="144">+O145*G145</f>
        <v>115.51011999999999</v>
      </c>
      <c r="S145" s="169">
        <f t="shared" ref="S145:S179" si="145">TRUNC(SUM(Q145:R145),2)</f>
        <v>399.03</v>
      </c>
      <c r="T145" s="161">
        <f t="shared" ref="T145:T153" si="146">+S145/$S$212</f>
        <v>1.5757074101160369E-4</v>
      </c>
    </row>
    <row r="146" spans="2:20" x14ac:dyDescent="0.25">
      <c r="B146" s="162" t="s">
        <v>1461</v>
      </c>
      <c r="C146" s="160" t="s">
        <v>1002</v>
      </c>
      <c r="D146" s="171" t="s">
        <v>177</v>
      </c>
      <c r="E146" s="163" t="s">
        <v>1003</v>
      </c>
      <c r="F146" s="160" t="s">
        <v>227</v>
      </c>
      <c r="G146" s="164">
        <v>2495</v>
      </c>
      <c r="H146" s="165">
        <v>0.27</v>
      </c>
      <c r="I146" s="166">
        <v>0.11</v>
      </c>
      <c r="J146" s="167">
        <f t="shared" si="141"/>
        <v>0.38</v>
      </c>
      <c r="K146" s="168">
        <f t="shared" si="122"/>
        <v>673.65000000000009</v>
      </c>
      <c r="L146" s="169">
        <f t="shared" si="123"/>
        <v>274.45</v>
      </c>
      <c r="M146" s="170">
        <f t="shared" si="136"/>
        <v>948.1</v>
      </c>
      <c r="N146" s="165">
        <f t="shared" si="85"/>
        <v>0.34576200000000001</v>
      </c>
      <c r="O146" s="166">
        <f t="shared" si="85"/>
        <v>0.14086599999999999</v>
      </c>
      <c r="P146" s="167">
        <f t="shared" si="142"/>
        <v>0.48</v>
      </c>
      <c r="Q146" s="168">
        <f t="shared" si="143"/>
        <v>862.67619000000002</v>
      </c>
      <c r="R146" s="169">
        <f t="shared" si="144"/>
        <v>351.46066999999999</v>
      </c>
      <c r="S146" s="169">
        <f t="shared" si="145"/>
        <v>1214.1300000000001</v>
      </c>
      <c r="T146" s="161">
        <f t="shared" si="146"/>
        <v>4.7944105401703736E-4</v>
      </c>
    </row>
    <row r="147" spans="2:20" x14ac:dyDescent="0.25">
      <c r="B147" s="162" t="s">
        <v>1462</v>
      </c>
      <c r="C147" s="160" t="s">
        <v>1005</v>
      </c>
      <c r="D147" s="171" t="s">
        <v>125</v>
      </c>
      <c r="E147" s="163" t="s">
        <v>1006</v>
      </c>
      <c r="F147" s="160" t="s">
        <v>847</v>
      </c>
      <c r="G147" s="164">
        <v>120</v>
      </c>
      <c r="H147" s="165">
        <v>0.47</v>
      </c>
      <c r="I147" s="166">
        <v>0.22</v>
      </c>
      <c r="J147" s="167">
        <f t="shared" ref="J147:J209" si="147">TRUNC(SUM(H147:I147),2)</f>
        <v>0.69</v>
      </c>
      <c r="K147" s="168">
        <f t="shared" si="122"/>
        <v>56.4</v>
      </c>
      <c r="L147" s="169">
        <f t="shared" si="123"/>
        <v>26.4</v>
      </c>
      <c r="M147" s="170">
        <f t="shared" si="136"/>
        <v>82.8</v>
      </c>
      <c r="N147" s="165">
        <f t="shared" si="85"/>
        <v>0.60188199999999992</v>
      </c>
      <c r="O147" s="166">
        <f t="shared" si="85"/>
        <v>0.28173199999999998</v>
      </c>
      <c r="P147" s="167">
        <f t="shared" si="142"/>
        <v>0.88</v>
      </c>
      <c r="Q147" s="168">
        <f t="shared" si="143"/>
        <v>72.225839999999991</v>
      </c>
      <c r="R147" s="169">
        <f t="shared" si="144"/>
        <v>33.807839999999999</v>
      </c>
      <c r="S147" s="169">
        <f t="shared" si="145"/>
        <v>106.03</v>
      </c>
      <c r="T147" s="161">
        <f t="shared" si="146"/>
        <v>4.1869597948676394E-5</v>
      </c>
    </row>
    <row r="148" spans="2:20" ht="25.5" x14ac:dyDescent="0.25">
      <c r="B148" s="162" t="s">
        <v>1463</v>
      </c>
      <c r="C148" s="160" t="s">
        <v>767</v>
      </c>
      <c r="D148" s="171" t="s">
        <v>125</v>
      </c>
      <c r="E148" s="163" t="s">
        <v>472</v>
      </c>
      <c r="F148" s="160" t="s">
        <v>227</v>
      </c>
      <c r="G148" s="164">
        <v>234</v>
      </c>
      <c r="H148" s="165">
        <v>2.95</v>
      </c>
      <c r="I148" s="166">
        <v>1.29</v>
      </c>
      <c r="J148" s="167">
        <f t="shared" si="147"/>
        <v>4.24</v>
      </c>
      <c r="K148" s="168">
        <f t="shared" si="122"/>
        <v>690.30000000000007</v>
      </c>
      <c r="L148" s="169">
        <f t="shared" si="123"/>
        <v>301.86</v>
      </c>
      <c r="M148" s="170">
        <f t="shared" si="136"/>
        <v>992.16</v>
      </c>
      <c r="N148" s="165">
        <f t="shared" si="85"/>
        <v>3.7777700000000003</v>
      </c>
      <c r="O148" s="166">
        <f t="shared" si="85"/>
        <v>1.6519740000000001</v>
      </c>
      <c r="P148" s="167">
        <f t="shared" si="142"/>
        <v>5.42</v>
      </c>
      <c r="Q148" s="168">
        <f t="shared" si="143"/>
        <v>883.99818000000005</v>
      </c>
      <c r="R148" s="169">
        <f t="shared" si="144"/>
        <v>386.561916</v>
      </c>
      <c r="S148" s="169">
        <f t="shared" si="145"/>
        <v>1270.56</v>
      </c>
      <c r="T148" s="161">
        <f t="shared" si="146"/>
        <v>5.017243833789519E-4</v>
      </c>
    </row>
    <row r="149" spans="2:20" ht="51" x14ac:dyDescent="0.25">
      <c r="B149" s="162" t="s">
        <v>1464</v>
      </c>
      <c r="C149" s="160" t="s">
        <v>1009</v>
      </c>
      <c r="D149" s="171" t="s">
        <v>125</v>
      </c>
      <c r="E149" s="163" t="s">
        <v>1010</v>
      </c>
      <c r="F149" s="160" t="s">
        <v>22</v>
      </c>
      <c r="G149" s="164">
        <v>64</v>
      </c>
      <c r="H149" s="165">
        <v>2.97</v>
      </c>
      <c r="I149" s="166">
        <v>1.45</v>
      </c>
      <c r="J149" s="167">
        <f t="shared" si="147"/>
        <v>4.42</v>
      </c>
      <c r="K149" s="168">
        <f t="shared" si="122"/>
        <v>190.08</v>
      </c>
      <c r="L149" s="169">
        <f t="shared" si="123"/>
        <v>92.8</v>
      </c>
      <c r="M149" s="170">
        <f t="shared" si="136"/>
        <v>282.88</v>
      </c>
      <c r="N149" s="165">
        <f t="shared" si="85"/>
        <v>3.803382</v>
      </c>
      <c r="O149" s="166">
        <f t="shared" si="85"/>
        <v>1.8568699999999998</v>
      </c>
      <c r="P149" s="167">
        <f t="shared" si="142"/>
        <v>5.66</v>
      </c>
      <c r="Q149" s="168">
        <f t="shared" si="143"/>
        <v>243.416448</v>
      </c>
      <c r="R149" s="169">
        <f t="shared" si="144"/>
        <v>118.83967999999999</v>
      </c>
      <c r="S149" s="169">
        <f t="shared" si="145"/>
        <v>362.25</v>
      </c>
      <c r="T149" s="161">
        <f t="shared" si="146"/>
        <v>1.4304689103940415E-4</v>
      </c>
    </row>
    <row r="150" spans="2:20" ht="25.5" x14ac:dyDescent="0.25">
      <c r="B150" s="162" t="s">
        <v>1465</v>
      </c>
      <c r="C150" s="160" t="s">
        <v>768</v>
      </c>
      <c r="D150" s="171" t="s">
        <v>125</v>
      </c>
      <c r="E150" s="163" t="s">
        <v>492</v>
      </c>
      <c r="F150" s="160" t="s">
        <v>227</v>
      </c>
      <c r="G150" s="164">
        <v>820</v>
      </c>
      <c r="H150" s="165">
        <v>0.16</v>
      </c>
      <c r="I150" s="166">
        <v>0.44</v>
      </c>
      <c r="J150" s="167">
        <f t="shared" si="147"/>
        <v>0.6</v>
      </c>
      <c r="K150" s="168">
        <f t="shared" si="122"/>
        <v>131.19999999999999</v>
      </c>
      <c r="L150" s="169">
        <f t="shared" si="123"/>
        <v>360.8</v>
      </c>
      <c r="M150" s="170">
        <f t="shared" si="136"/>
        <v>492</v>
      </c>
      <c r="N150" s="165">
        <f t="shared" si="85"/>
        <v>0.20489599999999999</v>
      </c>
      <c r="O150" s="166">
        <f t="shared" si="85"/>
        <v>0.56346399999999996</v>
      </c>
      <c r="P150" s="167">
        <f t="shared" si="142"/>
        <v>0.76</v>
      </c>
      <c r="Q150" s="168">
        <f t="shared" si="143"/>
        <v>168.01471999999998</v>
      </c>
      <c r="R150" s="169">
        <f t="shared" si="144"/>
        <v>462.04047999999995</v>
      </c>
      <c r="S150" s="169">
        <f t="shared" si="145"/>
        <v>630.04999999999995</v>
      </c>
      <c r="T150" s="161">
        <f t="shared" si="146"/>
        <v>2.4879694603002506E-4</v>
      </c>
    </row>
    <row r="151" spans="2:20" ht="25.5" x14ac:dyDescent="0.25">
      <c r="B151" s="162" t="s">
        <v>1466</v>
      </c>
      <c r="C151" s="160" t="s">
        <v>1013</v>
      </c>
      <c r="D151" s="171" t="s">
        <v>905</v>
      </c>
      <c r="E151" s="163" t="s">
        <v>1014</v>
      </c>
      <c r="F151" s="160" t="s">
        <v>847</v>
      </c>
      <c r="G151" s="164">
        <v>1664</v>
      </c>
      <c r="H151" s="165">
        <v>0.2</v>
      </c>
      <c r="I151" s="166">
        <v>0.18</v>
      </c>
      <c r="J151" s="167">
        <f t="shared" si="147"/>
        <v>0.38</v>
      </c>
      <c r="K151" s="168">
        <f t="shared" si="122"/>
        <v>332.8</v>
      </c>
      <c r="L151" s="169">
        <f t="shared" si="123"/>
        <v>299.52</v>
      </c>
      <c r="M151" s="170">
        <f t="shared" si="136"/>
        <v>632.32000000000005</v>
      </c>
      <c r="N151" s="165">
        <f t="shared" si="85"/>
        <v>0.25612000000000001</v>
      </c>
      <c r="O151" s="166">
        <f t="shared" si="85"/>
        <v>0.23050799999999999</v>
      </c>
      <c r="P151" s="167">
        <f t="shared" si="142"/>
        <v>0.48</v>
      </c>
      <c r="Q151" s="168">
        <f t="shared" si="143"/>
        <v>426.18368000000004</v>
      </c>
      <c r="R151" s="169">
        <f t="shared" si="144"/>
        <v>383.56531200000001</v>
      </c>
      <c r="S151" s="169">
        <f t="shared" si="145"/>
        <v>809.74</v>
      </c>
      <c r="T151" s="161">
        <f t="shared" si="146"/>
        <v>3.1975373236783195E-4</v>
      </c>
    </row>
    <row r="152" spans="2:20" x14ac:dyDescent="0.25">
      <c r="B152" s="162" t="s">
        <v>1467</v>
      </c>
      <c r="C152" s="160" t="s">
        <v>1015</v>
      </c>
      <c r="D152" s="171" t="s">
        <v>177</v>
      </c>
      <c r="E152" s="163" t="s">
        <v>1016</v>
      </c>
      <c r="F152" s="160" t="s">
        <v>227</v>
      </c>
      <c r="G152" s="164">
        <v>2487</v>
      </c>
      <c r="H152" s="165">
        <v>2.79</v>
      </c>
      <c r="I152" s="166">
        <v>0.94</v>
      </c>
      <c r="J152" s="167">
        <f t="shared" si="147"/>
        <v>3.73</v>
      </c>
      <c r="K152" s="168">
        <f t="shared" si="122"/>
        <v>6938.7300000000005</v>
      </c>
      <c r="L152" s="169">
        <f t="shared" si="123"/>
        <v>2337.7799999999997</v>
      </c>
      <c r="M152" s="170">
        <f t="shared" si="136"/>
        <v>9276.51</v>
      </c>
      <c r="N152" s="165">
        <f t="shared" si="85"/>
        <v>3.5728740000000001</v>
      </c>
      <c r="O152" s="166">
        <f t="shared" si="85"/>
        <v>1.2037639999999998</v>
      </c>
      <c r="P152" s="167">
        <f t="shared" si="142"/>
        <v>4.7699999999999996</v>
      </c>
      <c r="Q152" s="168">
        <f t="shared" si="143"/>
        <v>8885.7376380000005</v>
      </c>
      <c r="R152" s="169">
        <f t="shared" si="144"/>
        <v>2993.7610679999998</v>
      </c>
      <c r="S152" s="169">
        <f t="shared" si="145"/>
        <v>11879.49</v>
      </c>
      <c r="T152" s="161">
        <f t="shared" si="146"/>
        <v>4.691025843019162E-3</v>
      </c>
    </row>
    <row r="153" spans="2:20" x14ac:dyDescent="0.25">
      <c r="B153" s="162" t="s">
        <v>1468</v>
      </c>
      <c r="C153" s="160" t="s">
        <v>1017</v>
      </c>
      <c r="D153" s="171" t="s">
        <v>177</v>
      </c>
      <c r="E153" s="163" t="s">
        <v>1018</v>
      </c>
      <c r="F153" s="160" t="s">
        <v>227</v>
      </c>
      <c r="G153" s="164">
        <v>823</v>
      </c>
      <c r="H153" s="165">
        <v>11.21</v>
      </c>
      <c r="I153" s="166">
        <v>24.99</v>
      </c>
      <c r="J153" s="167">
        <f t="shared" si="147"/>
        <v>36.200000000000003</v>
      </c>
      <c r="K153" s="168">
        <f t="shared" si="122"/>
        <v>9225.83</v>
      </c>
      <c r="L153" s="169">
        <f t="shared" si="123"/>
        <v>20566.77</v>
      </c>
      <c r="M153" s="170">
        <f t="shared" si="136"/>
        <v>29792.6</v>
      </c>
      <c r="N153" s="165">
        <f t="shared" ref="N153:O169" si="148">+H153*(1+$T$10)</f>
        <v>14.355526000000001</v>
      </c>
      <c r="O153" s="166">
        <f t="shared" si="148"/>
        <v>32.002193999999996</v>
      </c>
      <c r="P153" s="167">
        <f t="shared" si="142"/>
        <v>46.35</v>
      </c>
      <c r="Q153" s="168">
        <f t="shared" si="143"/>
        <v>11814.597898000002</v>
      </c>
      <c r="R153" s="169">
        <f t="shared" si="144"/>
        <v>26337.805661999995</v>
      </c>
      <c r="S153" s="169">
        <f t="shared" si="145"/>
        <v>38152.400000000001</v>
      </c>
      <c r="T153" s="161">
        <f t="shared" si="146"/>
        <v>1.5065789387692929E-2</v>
      </c>
    </row>
    <row r="154" spans="2:20" x14ac:dyDescent="0.25">
      <c r="B154" s="339" t="s">
        <v>1488</v>
      </c>
      <c r="C154" s="357"/>
      <c r="D154" s="358"/>
      <c r="E154" s="341" t="s">
        <v>1021</v>
      </c>
      <c r="F154" s="340"/>
      <c r="G154" s="356"/>
      <c r="H154" s="347"/>
      <c r="I154" s="348"/>
      <c r="J154" s="349">
        <f t="shared" si="147"/>
        <v>0</v>
      </c>
      <c r="K154" s="393">
        <f>SUM(K155:K157)</f>
        <v>860.51</v>
      </c>
      <c r="L154" s="393">
        <f t="shared" ref="L154:M154" si="149">SUM(L155:L157)</f>
        <v>823.56999999999994</v>
      </c>
      <c r="M154" s="393">
        <f t="shared" si="149"/>
        <v>1684.08</v>
      </c>
      <c r="N154" s="394">
        <f t="shared" si="148"/>
        <v>0</v>
      </c>
      <c r="O154" s="348">
        <f t="shared" si="148"/>
        <v>0</v>
      </c>
      <c r="P154" s="349">
        <f t="shared" ref="P154" si="150">TRUNC(SUM(N154:O154),2)</f>
        <v>0</v>
      </c>
      <c r="Q154" s="393">
        <f>SUM(Q155:Q157)</f>
        <v>1101.969106</v>
      </c>
      <c r="R154" s="393">
        <f t="shared" ref="R154:S154" si="151">SUM(R155:R157)</f>
        <v>1054.663742</v>
      </c>
      <c r="S154" s="393">
        <f t="shared" si="151"/>
        <v>2156.62</v>
      </c>
      <c r="T154" s="346">
        <f>+S154/$S$212</f>
        <v>8.516156967657689E-4</v>
      </c>
    </row>
    <row r="155" spans="2:20" ht="25.5" x14ac:dyDescent="0.25">
      <c r="B155" s="162" t="s">
        <v>1019</v>
      </c>
      <c r="C155" s="160" t="s">
        <v>1024</v>
      </c>
      <c r="D155" s="171" t="s">
        <v>905</v>
      </c>
      <c r="E155" s="163" t="s">
        <v>1025</v>
      </c>
      <c r="F155" s="160" t="s">
        <v>847</v>
      </c>
      <c r="G155" s="164">
        <v>4</v>
      </c>
      <c r="H155" s="165">
        <v>1.95</v>
      </c>
      <c r="I155" s="166">
        <v>2.2400000000000002</v>
      </c>
      <c r="J155" s="167">
        <f t="shared" si="147"/>
        <v>4.1900000000000004</v>
      </c>
      <c r="K155" s="168">
        <f t="shared" ref="K155:K179" si="152">+H155*G155</f>
        <v>7.8</v>
      </c>
      <c r="L155" s="169">
        <f t="shared" ref="L155:L179" si="153">+I155*G155</f>
        <v>8.9600000000000009</v>
      </c>
      <c r="M155" s="170">
        <f t="shared" si="136"/>
        <v>16.760000000000002</v>
      </c>
      <c r="N155" s="165">
        <f t="shared" si="148"/>
        <v>2.4971699999999997</v>
      </c>
      <c r="O155" s="166">
        <f t="shared" si="148"/>
        <v>2.868544</v>
      </c>
      <c r="P155" s="167">
        <f t="shared" si="142"/>
        <v>5.36</v>
      </c>
      <c r="Q155" s="168">
        <f t="shared" si="143"/>
        <v>9.9886799999999987</v>
      </c>
      <c r="R155" s="169">
        <f t="shared" si="144"/>
        <v>11.474176</v>
      </c>
      <c r="S155" s="169">
        <f t="shared" si="145"/>
        <v>21.46</v>
      </c>
      <c r="T155" s="161">
        <f t="shared" ref="T155:T157" si="154">+S155/$S$212</f>
        <v>8.47422023935297E-6</v>
      </c>
    </row>
    <row r="156" spans="2:20" ht="38.25" x14ac:dyDescent="0.25">
      <c r="B156" s="162" t="s">
        <v>1491</v>
      </c>
      <c r="C156" s="160" t="s">
        <v>1255</v>
      </c>
      <c r="D156" s="171" t="s">
        <v>125</v>
      </c>
      <c r="E156" s="163" t="s">
        <v>1256</v>
      </c>
      <c r="F156" s="160" t="s">
        <v>22</v>
      </c>
      <c r="G156" s="164">
        <v>5</v>
      </c>
      <c r="H156" s="165">
        <v>63.47</v>
      </c>
      <c r="I156" s="166">
        <v>35.69</v>
      </c>
      <c r="J156" s="167">
        <f t="shared" ref="J156:J157" si="155">TRUNC(SUM(H156:I156),2)</f>
        <v>99.16</v>
      </c>
      <c r="K156" s="168">
        <f t="shared" si="152"/>
        <v>317.35000000000002</v>
      </c>
      <c r="L156" s="169">
        <f t="shared" si="153"/>
        <v>178.45</v>
      </c>
      <c r="M156" s="170">
        <f t="shared" si="136"/>
        <v>495.8</v>
      </c>
      <c r="N156" s="165">
        <f t="shared" si="148"/>
        <v>81.279681999999994</v>
      </c>
      <c r="O156" s="166">
        <f t="shared" si="148"/>
        <v>45.704613999999992</v>
      </c>
      <c r="P156" s="167">
        <f t="shared" ref="P156:P157" si="156">TRUNC(SUM(N156:O156),2)</f>
        <v>126.98</v>
      </c>
      <c r="Q156" s="168">
        <f t="shared" si="143"/>
        <v>406.39840999999996</v>
      </c>
      <c r="R156" s="169">
        <f t="shared" si="144"/>
        <v>228.52306999999996</v>
      </c>
      <c r="S156" s="169">
        <f t="shared" si="145"/>
        <v>634.91999999999996</v>
      </c>
      <c r="T156" s="161">
        <f t="shared" si="154"/>
        <v>2.5072003328844303E-4</v>
      </c>
    </row>
    <row r="157" spans="2:20" x14ac:dyDescent="0.25">
      <c r="B157" s="162" t="s">
        <v>1492</v>
      </c>
      <c r="C157" s="160" t="s">
        <v>997</v>
      </c>
      <c r="D157" s="171" t="s">
        <v>214</v>
      </c>
      <c r="E157" s="163" t="s">
        <v>998</v>
      </c>
      <c r="F157" s="160" t="s">
        <v>22</v>
      </c>
      <c r="G157" s="164">
        <v>28</v>
      </c>
      <c r="H157" s="165">
        <v>19.12</v>
      </c>
      <c r="I157" s="166">
        <v>22.72</v>
      </c>
      <c r="J157" s="167">
        <f t="shared" si="155"/>
        <v>41.84</v>
      </c>
      <c r="K157" s="168">
        <f t="shared" si="152"/>
        <v>535.36</v>
      </c>
      <c r="L157" s="169">
        <f t="shared" si="153"/>
        <v>636.16</v>
      </c>
      <c r="M157" s="170">
        <f t="shared" si="136"/>
        <v>1171.52</v>
      </c>
      <c r="N157" s="165">
        <f t="shared" si="148"/>
        <v>24.485071999999999</v>
      </c>
      <c r="O157" s="166">
        <f t="shared" si="148"/>
        <v>29.095231999999999</v>
      </c>
      <c r="P157" s="167">
        <f t="shared" si="156"/>
        <v>53.58</v>
      </c>
      <c r="Q157" s="168">
        <f t="shared" si="143"/>
        <v>685.58201599999995</v>
      </c>
      <c r="R157" s="169">
        <f t="shared" si="144"/>
        <v>814.66649599999994</v>
      </c>
      <c r="S157" s="169">
        <f t="shared" si="145"/>
        <v>1500.24</v>
      </c>
      <c r="T157" s="161">
        <f t="shared" si="154"/>
        <v>5.9242144323797289E-4</v>
      </c>
    </row>
    <row r="158" spans="2:20" x14ac:dyDescent="0.25">
      <c r="B158" s="339" t="s">
        <v>1022</v>
      </c>
      <c r="C158" s="357"/>
      <c r="D158" s="358"/>
      <c r="E158" s="341" t="s">
        <v>1027</v>
      </c>
      <c r="F158" s="340"/>
      <c r="G158" s="356"/>
      <c r="H158" s="347"/>
      <c r="I158" s="348"/>
      <c r="J158" s="349">
        <f t="shared" si="147"/>
        <v>0</v>
      </c>
      <c r="K158" s="393">
        <f>SUM(K159:K160)</f>
        <v>3252.23</v>
      </c>
      <c r="L158" s="393">
        <f>SUM(L159:L160)</f>
        <v>27381.969999999998</v>
      </c>
      <c r="M158" s="393">
        <f>SUM(M159:M160)</f>
        <v>30634.2</v>
      </c>
      <c r="N158" s="394">
        <f t="shared" si="148"/>
        <v>0</v>
      </c>
      <c r="O158" s="348">
        <f t="shared" si="148"/>
        <v>0</v>
      </c>
      <c r="P158" s="349">
        <f t="shared" si="142"/>
        <v>0</v>
      </c>
      <c r="Q158" s="393">
        <f>SUM(Q159:Q160)</f>
        <v>4164.8057379999991</v>
      </c>
      <c r="R158" s="393">
        <f>SUM(R159:R160)</f>
        <v>35065.350781999994</v>
      </c>
      <c r="S158" s="393">
        <f>SUM(S159:S160)</f>
        <v>39230.15</v>
      </c>
      <c r="T158" s="346">
        <f>+S158/$S$212</f>
        <v>1.5491376100785317E-2</v>
      </c>
    </row>
    <row r="159" spans="2:20" ht="25.5" x14ac:dyDescent="0.25">
      <c r="B159" s="162" t="s">
        <v>1023</v>
      </c>
      <c r="C159" s="160" t="s">
        <v>771</v>
      </c>
      <c r="D159" s="171" t="s">
        <v>125</v>
      </c>
      <c r="E159" s="163" t="s">
        <v>553</v>
      </c>
      <c r="F159" s="160" t="s">
        <v>22</v>
      </c>
      <c r="G159" s="164">
        <v>373</v>
      </c>
      <c r="H159" s="165">
        <v>8.1999999999999993</v>
      </c>
      <c r="I159" s="166">
        <v>72.69</v>
      </c>
      <c r="J159" s="167">
        <f t="shared" si="147"/>
        <v>80.89</v>
      </c>
      <c r="K159" s="168">
        <f t="shared" si="152"/>
        <v>3058.6</v>
      </c>
      <c r="L159" s="169">
        <f t="shared" si="153"/>
        <v>27113.37</v>
      </c>
      <c r="M159" s="170">
        <f t="shared" si="136"/>
        <v>30171.97</v>
      </c>
      <c r="N159" s="165">
        <f t="shared" si="148"/>
        <v>10.500919999999999</v>
      </c>
      <c r="O159" s="166">
        <f t="shared" si="148"/>
        <v>93.08681399999999</v>
      </c>
      <c r="P159" s="167">
        <f t="shared" si="142"/>
        <v>103.58</v>
      </c>
      <c r="Q159" s="168">
        <f t="shared" si="143"/>
        <v>3916.8431599999994</v>
      </c>
      <c r="R159" s="169">
        <f t="shared" si="144"/>
        <v>34721.381621999994</v>
      </c>
      <c r="S159" s="169">
        <f t="shared" si="145"/>
        <v>38638.22</v>
      </c>
      <c r="T159" s="161">
        <f t="shared" ref="T159:T160" si="157">+S159/$S$212</f>
        <v>1.5257632149886893E-2</v>
      </c>
    </row>
    <row r="160" spans="2:20" ht="25.5" x14ac:dyDescent="0.25">
      <c r="B160" s="162" t="s">
        <v>1254</v>
      </c>
      <c r="C160" s="160">
        <v>72596</v>
      </c>
      <c r="D160" s="171" t="s">
        <v>905</v>
      </c>
      <c r="E160" s="163" t="s">
        <v>1032</v>
      </c>
      <c r="F160" s="160" t="s">
        <v>847</v>
      </c>
      <c r="G160" s="164">
        <v>17</v>
      </c>
      <c r="H160" s="165">
        <v>11.39</v>
      </c>
      <c r="I160" s="166">
        <v>15.8</v>
      </c>
      <c r="J160" s="167">
        <f t="shared" si="147"/>
        <v>27.19</v>
      </c>
      <c r="K160" s="168">
        <f t="shared" si="152"/>
        <v>193.63</v>
      </c>
      <c r="L160" s="169">
        <f t="shared" si="153"/>
        <v>268.60000000000002</v>
      </c>
      <c r="M160" s="170">
        <f t="shared" si="136"/>
        <v>462.23</v>
      </c>
      <c r="N160" s="165">
        <f t="shared" si="148"/>
        <v>14.586034</v>
      </c>
      <c r="O160" s="166">
        <f t="shared" si="148"/>
        <v>20.23348</v>
      </c>
      <c r="P160" s="167">
        <f t="shared" si="142"/>
        <v>34.81</v>
      </c>
      <c r="Q160" s="168">
        <f t="shared" si="143"/>
        <v>247.96257800000001</v>
      </c>
      <c r="R160" s="169">
        <f t="shared" si="144"/>
        <v>343.96915999999999</v>
      </c>
      <c r="S160" s="169">
        <f t="shared" si="145"/>
        <v>591.92999999999995</v>
      </c>
      <c r="T160" s="161">
        <f t="shared" si="157"/>
        <v>2.3374395089842512E-4</v>
      </c>
    </row>
    <row r="161" spans="2:20" x14ac:dyDescent="0.25">
      <c r="B161" s="339" t="s">
        <v>1026</v>
      </c>
      <c r="C161" s="357"/>
      <c r="D161" s="358"/>
      <c r="E161" s="341" t="s">
        <v>1035</v>
      </c>
      <c r="F161" s="340"/>
      <c r="G161" s="356"/>
      <c r="H161" s="347"/>
      <c r="I161" s="348"/>
      <c r="J161" s="349">
        <f t="shared" si="147"/>
        <v>0</v>
      </c>
      <c r="K161" s="393">
        <f>SUM(K162:K166)</f>
        <v>99358.593000000008</v>
      </c>
      <c r="L161" s="393">
        <f>SUM(L162:L166)</f>
        <v>80620.452000000005</v>
      </c>
      <c r="M161" s="393">
        <f>SUM(M162:M166)</f>
        <v>179979.03999999998</v>
      </c>
      <c r="N161" s="394">
        <f t="shared" si="148"/>
        <v>0</v>
      </c>
      <c r="O161" s="348">
        <f t="shared" si="148"/>
        <v>0</v>
      </c>
      <c r="P161" s="349">
        <f t="shared" ref="P161" si="158">TRUNC(SUM(N161:O161),2)</f>
        <v>0</v>
      </c>
      <c r="Q161" s="393">
        <f>SUM(Q162:Q166)</f>
        <v>127238.61419580004</v>
      </c>
      <c r="R161" s="393">
        <f>SUM(R162:R166)</f>
        <v>103242.5508312</v>
      </c>
      <c r="S161" s="393">
        <f>SUM(S162:S166)</f>
        <v>230481.15</v>
      </c>
      <c r="T161" s="346">
        <f>+S161/$S$212</f>
        <v>9.101342153398638E-2</v>
      </c>
    </row>
    <row r="162" spans="2:20" ht="38.25" x14ac:dyDescent="0.25">
      <c r="B162" s="162" t="s">
        <v>1028</v>
      </c>
      <c r="C162" s="160" t="s">
        <v>1390</v>
      </c>
      <c r="D162" s="171" t="s">
        <v>125</v>
      </c>
      <c r="E162" s="163" t="s">
        <v>304</v>
      </c>
      <c r="F162" s="160" t="s">
        <v>35</v>
      </c>
      <c r="G162" s="164">
        <v>2032</v>
      </c>
      <c r="H162" s="165">
        <v>26.53</v>
      </c>
      <c r="I162" s="166">
        <v>22.71</v>
      </c>
      <c r="J162" s="167">
        <f t="shared" si="147"/>
        <v>49.24</v>
      </c>
      <c r="K162" s="168">
        <f t="shared" si="152"/>
        <v>53908.959999999999</v>
      </c>
      <c r="L162" s="169">
        <f t="shared" si="153"/>
        <v>46146.720000000001</v>
      </c>
      <c r="M162" s="170">
        <f t="shared" si="136"/>
        <v>100055.67999999999</v>
      </c>
      <c r="N162" s="165">
        <f t="shared" si="148"/>
        <v>33.974318000000004</v>
      </c>
      <c r="O162" s="166">
        <f t="shared" si="148"/>
        <v>29.082426000000002</v>
      </c>
      <c r="P162" s="167">
        <f t="shared" si="142"/>
        <v>63.05</v>
      </c>
      <c r="Q162" s="168">
        <f t="shared" si="143"/>
        <v>69035.814176000014</v>
      </c>
      <c r="R162" s="169">
        <f t="shared" si="144"/>
        <v>59095.489632000004</v>
      </c>
      <c r="S162" s="169">
        <f t="shared" si="145"/>
        <v>128131.3</v>
      </c>
      <c r="T162" s="161">
        <f t="shared" ref="T162:T166" si="159">+S162/$S$212</f>
        <v>5.0597057584091665E-2</v>
      </c>
    </row>
    <row r="163" spans="2:20" ht="25.5" x14ac:dyDescent="0.25">
      <c r="B163" s="162" t="s">
        <v>1469</v>
      </c>
      <c r="C163" s="160">
        <v>9524</v>
      </c>
      <c r="D163" s="171" t="s">
        <v>177</v>
      </c>
      <c r="E163" s="163" t="s">
        <v>1248</v>
      </c>
      <c r="F163" s="160" t="s">
        <v>227</v>
      </c>
      <c r="G163" s="164">
        <v>49</v>
      </c>
      <c r="H163" s="165">
        <v>5.6</v>
      </c>
      <c r="I163" s="166">
        <v>6.32</v>
      </c>
      <c r="J163" s="167">
        <f t="shared" si="147"/>
        <v>11.92</v>
      </c>
      <c r="K163" s="168">
        <f t="shared" si="152"/>
        <v>274.39999999999998</v>
      </c>
      <c r="L163" s="169">
        <f t="shared" si="153"/>
        <v>309.68</v>
      </c>
      <c r="M163" s="170">
        <f t="shared" si="136"/>
        <v>584.08000000000004</v>
      </c>
      <c r="N163" s="165">
        <f t="shared" si="148"/>
        <v>7.1713599999999991</v>
      </c>
      <c r="O163" s="166">
        <f t="shared" si="148"/>
        <v>8.0933919999999997</v>
      </c>
      <c r="P163" s="167">
        <f t="shared" ref="P163:P164" si="160">TRUNC(SUM(N163:O163),2)</f>
        <v>15.26</v>
      </c>
      <c r="Q163" s="168">
        <f t="shared" si="143"/>
        <v>351.39663999999993</v>
      </c>
      <c r="R163" s="169">
        <f t="shared" si="144"/>
        <v>396.57620800000001</v>
      </c>
      <c r="S163" s="169">
        <f t="shared" si="145"/>
        <v>747.97</v>
      </c>
      <c r="T163" s="161">
        <f t="shared" si="159"/>
        <v>2.9536172005726192E-4</v>
      </c>
    </row>
    <row r="164" spans="2:20" x14ac:dyDescent="0.25">
      <c r="B164" s="162" t="s">
        <v>1493</v>
      </c>
      <c r="C164" s="160" t="s">
        <v>1249</v>
      </c>
      <c r="D164" s="171" t="s">
        <v>177</v>
      </c>
      <c r="E164" s="163" t="s">
        <v>1242</v>
      </c>
      <c r="F164" s="160" t="s">
        <v>227</v>
      </c>
      <c r="G164" s="164">
        <v>36</v>
      </c>
      <c r="H164" s="165">
        <v>2.95</v>
      </c>
      <c r="I164" s="166">
        <v>2.34</v>
      </c>
      <c r="J164" s="167">
        <f t="shared" si="147"/>
        <v>5.29</v>
      </c>
      <c r="K164" s="168">
        <f t="shared" si="152"/>
        <v>106.2</v>
      </c>
      <c r="L164" s="169">
        <f t="shared" si="153"/>
        <v>84.24</v>
      </c>
      <c r="M164" s="170">
        <f t="shared" si="136"/>
        <v>190.44</v>
      </c>
      <c r="N164" s="165">
        <f t="shared" si="148"/>
        <v>3.7777700000000003</v>
      </c>
      <c r="O164" s="166">
        <f t="shared" si="148"/>
        <v>2.9966039999999996</v>
      </c>
      <c r="P164" s="167">
        <f t="shared" si="160"/>
        <v>6.77</v>
      </c>
      <c r="Q164" s="168">
        <f t="shared" si="143"/>
        <v>135.99972000000002</v>
      </c>
      <c r="R164" s="169">
        <f t="shared" si="144"/>
        <v>107.87774399999998</v>
      </c>
      <c r="S164" s="169">
        <f t="shared" si="145"/>
        <v>243.87</v>
      </c>
      <c r="T164" s="161">
        <f t="shared" si="159"/>
        <v>9.6300470166403013E-5</v>
      </c>
    </row>
    <row r="165" spans="2:20" x14ac:dyDescent="0.25">
      <c r="B165" s="162" t="s">
        <v>1494</v>
      </c>
      <c r="C165" s="160">
        <v>9526</v>
      </c>
      <c r="D165" s="171" t="s">
        <v>177</v>
      </c>
      <c r="E165" s="163" t="s">
        <v>952</v>
      </c>
      <c r="F165" s="160" t="s">
        <v>227</v>
      </c>
      <c r="G165" s="164">
        <v>820</v>
      </c>
      <c r="H165" s="165">
        <v>9.69</v>
      </c>
      <c r="I165" s="166">
        <v>23.79</v>
      </c>
      <c r="J165" s="167">
        <f t="shared" si="147"/>
        <v>33.479999999999997</v>
      </c>
      <c r="K165" s="168">
        <f t="shared" si="152"/>
        <v>7945.7999999999993</v>
      </c>
      <c r="L165" s="169">
        <f t="shared" si="153"/>
        <v>19507.8</v>
      </c>
      <c r="M165" s="170">
        <f t="shared" si="136"/>
        <v>27453.599999999999</v>
      </c>
      <c r="N165" s="165">
        <f t="shared" si="148"/>
        <v>12.409013999999999</v>
      </c>
      <c r="O165" s="166">
        <f t="shared" si="148"/>
        <v>30.465473999999997</v>
      </c>
      <c r="P165" s="167">
        <f t="shared" si="142"/>
        <v>42.87</v>
      </c>
      <c r="Q165" s="168">
        <f t="shared" si="143"/>
        <v>10175.391479999998</v>
      </c>
      <c r="R165" s="169">
        <f t="shared" si="144"/>
        <v>24981.688679999996</v>
      </c>
      <c r="S165" s="169">
        <f t="shared" si="145"/>
        <v>35157.08</v>
      </c>
      <c r="T165" s="161">
        <f t="shared" si="159"/>
        <v>1.3882984104965123E-2</v>
      </c>
    </row>
    <row r="166" spans="2:20" x14ac:dyDescent="0.25">
      <c r="B166" s="162" t="s">
        <v>1495</v>
      </c>
      <c r="C166" s="160" t="s">
        <v>1288</v>
      </c>
      <c r="D166" s="171" t="s">
        <v>267</v>
      </c>
      <c r="E166" s="163" t="s">
        <v>1289</v>
      </c>
      <c r="F166" s="160" t="s">
        <v>35</v>
      </c>
      <c r="G166" s="164">
        <v>1474.9</v>
      </c>
      <c r="H166" s="165">
        <v>25.17</v>
      </c>
      <c r="I166" s="166">
        <v>9.8800000000000008</v>
      </c>
      <c r="J166" s="167">
        <f t="shared" si="147"/>
        <v>35.049999999999997</v>
      </c>
      <c r="K166" s="168">
        <f t="shared" si="152"/>
        <v>37123.233000000007</v>
      </c>
      <c r="L166" s="169">
        <f t="shared" si="153"/>
        <v>14572.012000000002</v>
      </c>
      <c r="M166" s="170">
        <f t="shared" si="136"/>
        <v>51695.24</v>
      </c>
      <c r="N166" s="165">
        <f t="shared" si="148"/>
        <v>32.232702000000003</v>
      </c>
      <c r="O166" s="166">
        <f t="shared" si="148"/>
        <v>12.652328000000001</v>
      </c>
      <c r="P166" s="167">
        <f t="shared" si="142"/>
        <v>44.88</v>
      </c>
      <c r="Q166" s="168">
        <f t="shared" si="143"/>
        <v>47540.012179800011</v>
      </c>
      <c r="R166" s="169">
        <f t="shared" si="144"/>
        <v>18660.918567200002</v>
      </c>
      <c r="S166" s="169">
        <f t="shared" si="145"/>
        <v>66200.929999999993</v>
      </c>
      <c r="T166" s="161">
        <f t="shared" si="159"/>
        <v>2.6141717654705923E-2</v>
      </c>
    </row>
    <row r="167" spans="2:20" x14ac:dyDescent="0.25">
      <c r="B167" s="339" t="s">
        <v>1034</v>
      </c>
      <c r="C167" s="357"/>
      <c r="D167" s="358"/>
      <c r="E167" s="341" t="s">
        <v>1039</v>
      </c>
      <c r="F167" s="340"/>
      <c r="G167" s="356"/>
      <c r="H167" s="347"/>
      <c r="I167" s="348"/>
      <c r="J167" s="349">
        <f t="shared" si="147"/>
        <v>0</v>
      </c>
      <c r="K167" s="393">
        <f>SUM(K168:K179)</f>
        <v>9436.6200000000008</v>
      </c>
      <c r="L167" s="393">
        <f>SUM(L168:L179)</f>
        <v>59387.340000000004</v>
      </c>
      <c r="M167" s="393">
        <f>SUM(M168:M179)</f>
        <v>68823.960000000006</v>
      </c>
      <c r="N167" s="394">
        <f t="shared" si="148"/>
        <v>0</v>
      </c>
      <c r="O167" s="348">
        <f t="shared" si="148"/>
        <v>0</v>
      </c>
      <c r="P167" s="349">
        <f t="shared" si="142"/>
        <v>0</v>
      </c>
      <c r="Q167" s="393">
        <f>SUM(Q168:Q179)</f>
        <v>12084.535571999997</v>
      </c>
      <c r="R167" s="393">
        <f>SUM(R168:R179)</f>
        <v>76051.427603999997</v>
      </c>
      <c r="S167" s="393">
        <f>SUM(S168:S179)</f>
        <v>88135.909999999989</v>
      </c>
      <c r="T167" s="346">
        <f>+S167/$S$212</f>
        <v>3.4803500108843977E-2</v>
      </c>
    </row>
    <row r="168" spans="2:20" ht="25.5" x14ac:dyDescent="0.25">
      <c r="B168" s="162" t="s">
        <v>1036</v>
      </c>
      <c r="C168" s="160" t="s">
        <v>772</v>
      </c>
      <c r="D168" s="171" t="s">
        <v>214</v>
      </c>
      <c r="E168" s="163" t="s">
        <v>773</v>
      </c>
      <c r="F168" s="160" t="s">
        <v>22</v>
      </c>
      <c r="G168" s="164">
        <v>2</v>
      </c>
      <c r="H168" s="416">
        <v>42.01</v>
      </c>
      <c r="I168" s="166">
        <v>2993.06</v>
      </c>
      <c r="J168" s="167">
        <f t="shared" si="147"/>
        <v>3035.07</v>
      </c>
      <c r="K168" s="168">
        <f t="shared" si="152"/>
        <v>84.02</v>
      </c>
      <c r="L168" s="169">
        <f t="shared" si="153"/>
        <v>5986.12</v>
      </c>
      <c r="M168" s="170">
        <f t="shared" si="136"/>
        <v>6070.14</v>
      </c>
      <c r="N168" s="165">
        <f t="shared" si="148"/>
        <v>53.798005999999994</v>
      </c>
      <c r="O168" s="166">
        <f t="shared" si="148"/>
        <v>3832.912636</v>
      </c>
      <c r="P168" s="167">
        <f t="shared" si="142"/>
        <v>3886.71</v>
      </c>
      <c r="Q168" s="168">
        <f t="shared" si="143"/>
        <v>107.59601199999999</v>
      </c>
      <c r="R168" s="169">
        <f t="shared" si="144"/>
        <v>7665.825272</v>
      </c>
      <c r="S168" s="169">
        <f t="shared" si="145"/>
        <v>7773.42</v>
      </c>
      <c r="T168" s="161">
        <f t="shared" ref="T168:T179" si="161">+S168/$S$212</f>
        <v>3.0696026604376124E-3</v>
      </c>
    </row>
    <row r="169" spans="2:20" x14ac:dyDescent="0.25">
      <c r="B169" s="162" t="s">
        <v>1243</v>
      </c>
      <c r="C169" s="160" t="s">
        <v>777</v>
      </c>
      <c r="D169" s="171" t="s">
        <v>214</v>
      </c>
      <c r="E169" s="163" t="s">
        <v>778</v>
      </c>
      <c r="F169" s="160" t="s">
        <v>22</v>
      </c>
      <c r="G169" s="164">
        <v>2</v>
      </c>
      <c r="H169" s="416">
        <v>75.459999999999994</v>
      </c>
      <c r="I169" s="166">
        <v>593.45000000000005</v>
      </c>
      <c r="J169" s="167">
        <f t="shared" si="147"/>
        <v>668.91</v>
      </c>
      <c r="K169" s="168">
        <f t="shared" si="152"/>
        <v>150.91999999999999</v>
      </c>
      <c r="L169" s="169">
        <f t="shared" si="153"/>
        <v>1186.9000000000001</v>
      </c>
      <c r="M169" s="170">
        <f t="shared" si="136"/>
        <v>1337.82</v>
      </c>
      <c r="N169" s="165">
        <f t="shared" si="148"/>
        <v>96.634075999999993</v>
      </c>
      <c r="O169" s="166">
        <f t="shared" si="148"/>
        <v>759.97207000000003</v>
      </c>
      <c r="P169" s="167">
        <f t="shared" si="142"/>
        <v>856.6</v>
      </c>
      <c r="Q169" s="168">
        <f t="shared" si="143"/>
        <v>193.26815199999999</v>
      </c>
      <c r="R169" s="169">
        <f t="shared" si="144"/>
        <v>1519.9441400000001</v>
      </c>
      <c r="S169" s="169">
        <f t="shared" si="145"/>
        <v>1713.21</v>
      </c>
      <c r="T169" s="161">
        <f t="shared" si="161"/>
        <v>6.7651998398238124E-4</v>
      </c>
    </row>
    <row r="170" spans="2:20" ht="25.5" x14ac:dyDescent="0.25">
      <c r="B170" s="162" t="s">
        <v>1244</v>
      </c>
      <c r="C170" s="160" t="s">
        <v>776</v>
      </c>
      <c r="D170" s="171" t="s">
        <v>125</v>
      </c>
      <c r="E170" s="163" t="s">
        <v>562</v>
      </c>
      <c r="F170" s="160" t="s">
        <v>245</v>
      </c>
      <c r="G170" s="164">
        <v>2</v>
      </c>
      <c r="H170" s="416">
        <v>5.92</v>
      </c>
      <c r="I170" s="166">
        <v>516.27</v>
      </c>
      <c r="J170" s="167">
        <f t="shared" si="147"/>
        <v>522.19000000000005</v>
      </c>
      <c r="K170" s="168">
        <f t="shared" si="152"/>
        <v>11.84</v>
      </c>
      <c r="L170" s="169">
        <f t="shared" si="153"/>
        <v>1032.54</v>
      </c>
      <c r="M170" s="170">
        <f t="shared" si="136"/>
        <v>1044.3800000000001</v>
      </c>
      <c r="N170" s="165">
        <f t="shared" ref="N170:O192" si="162">+H170*(1+$T$10)</f>
        <v>7.5811519999999994</v>
      </c>
      <c r="O170" s="166">
        <f t="shared" si="162"/>
        <v>661.13536199999999</v>
      </c>
      <c r="P170" s="167">
        <f t="shared" si="142"/>
        <v>668.71</v>
      </c>
      <c r="Q170" s="168">
        <f t="shared" si="143"/>
        <v>15.162303999999999</v>
      </c>
      <c r="R170" s="169">
        <f t="shared" si="144"/>
        <v>1322.270724</v>
      </c>
      <c r="S170" s="169">
        <f t="shared" si="145"/>
        <v>1337.43</v>
      </c>
      <c r="T170" s="161">
        <f t="shared" si="161"/>
        <v>5.2813030637082208E-4</v>
      </c>
    </row>
    <row r="171" spans="2:20" x14ac:dyDescent="0.25">
      <c r="B171" s="162" t="s">
        <v>1245</v>
      </c>
      <c r="C171" s="160" t="s">
        <v>779</v>
      </c>
      <c r="D171" s="171" t="s">
        <v>214</v>
      </c>
      <c r="E171" s="163" t="s">
        <v>780</v>
      </c>
      <c r="F171" s="160" t="s">
        <v>22</v>
      </c>
      <c r="G171" s="164">
        <v>24</v>
      </c>
      <c r="H171" s="416">
        <v>2.5499999999999998</v>
      </c>
      <c r="I171" s="166">
        <v>64.91</v>
      </c>
      <c r="J171" s="167">
        <f t="shared" si="147"/>
        <v>67.459999999999994</v>
      </c>
      <c r="K171" s="168">
        <f t="shared" si="152"/>
        <v>61.199999999999996</v>
      </c>
      <c r="L171" s="169">
        <f t="shared" si="153"/>
        <v>1557.84</v>
      </c>
      <c r="M171" s="170">
        <f t="shared" si="136"/>
        <v>1619.04</v>
      </c>
      <c r="N171" s="165">
        <f t="shared" si="162"/>
        <v>3.2655299999999996</v>
      </c>
      <c r="O171" s="166">
        <f t="shared" si="162"/>
        <v>83.123745999999997</v>
      </c>
      <c r="P171" s="167">
        <f t="shared" si="142"/>
        <v>86.38</v>
      </c>
      <c r="Q171" s="168">
        <f t="shared" si="143"/>
        <v>78.372719999999987</v>
      </c>
      <c r="R171" s="169">
        <f t="shared" si="144"/>
        <v>1994.969904</v>
      </c>
      <c r="S171" s="169">
        <f t="shared" si="145"/>
        <v>2073.34</v>
      </c>
      <c r="T171" s="161">
        <f t="shared" si="161"/>
        <v>8.1872971999348034E-4</v>
      </c>
    </row>
    <row r="172" spans="2:20" ht="25.5" x14ac:dyDescent="0.25">
      <c r="B172" s="162" t="s">
        <v>1470</v>
      </c>
      <c r="C172" s="160" t="s">
        <v>781</v>
      </c>
      <c r="D172" s="171" t="s">
        <v>31</v>
      </c>
      <c r="E172" s="163" t="s">
        <v>782</v>
      </c>
      <c r="F172" s="160" t="s">
        <v>22</v>
      </c>
      <c r="G172" s="164">
        <v>24</v>
      </c>
      <c r="H172" s="416">
        <v>183.89</v>
      </c>
      <c r="I172" s="166">
        <v>716.38</v>
      </c>
      <c r="J172" s="167">
        <f t="shared" si="147"/>
        <v>900.27</v>
      </c>
      <c r="K172" s="168">
        <f t="shared" si="152"/>
        <v>4413.3599999999997</v>
      </c>
      <c r="L172" s="169">
        <f t="shared" si="153"/>
        <v>17193.12</v>
      </c>
      <c r="M172" s="170">
        <f t="shared" si="136"/>
        <v>21606.48</v>
      </c>
      <c r="N172" s="165">
        <f t="shared" si="162"/>
        <v>235.48953399999996</v>
      </c>
      <c r="O172" s="166">
        <f t="shared" si="162"/>
        <v>917.39622799999995</v>
      </c>
      <c r="P172" s="167">
        <f t="shared" si="142"/>
        <v>1152.8800000000001</v>
      </c>
      <c r="Q172" s="168">
        <f t="shared" si="143"/>
        <v>5651.7488159999994</v>
      </c>
      <c r="R172" s="169">
        <f t="shared" si="144"/>
        <v>22017.509471999998</v>
      </c>
      <c r="S172" s="169">
        <f t="shared" si="145"/>
        <v>27669.25</v>
      </c>
      <c r="T172" s="161">
        <f t="shared" si="161"/>
        <v>1.0926156493835841E-2</v>
      </c>
    </row>
    <row r="173" spans="2:20" x14ac:dyDescent="0.25">
      <c r="B173" s="162" t="s">
        <v>1246</v>
      </c>
      <c r="C173" s="160" t="s">
        <v>783</v>
      </c>
      <c r="D173" s="171" t="s">
        <v>214</v>
      </c>
      <c r="E173" s="163" t="s">
        <v>784</v>
      </c>
      <c r="F173" s="160" t="s">
        <v>22</v>
      </c>
      <c r="G173" s="164">
        <v>2</v>
      </c>
      <c r="H173" s="416">
        <v>2.5499999999999998</v>
      </c>
      <c r="I173" s="166">
        <v>96.64</v>
      </c>
      <c r="J173" s="167">
        <f t="shared" si="147"/>
        <v>99.19</v>
      </c>
      <c r="K173" s="168">
        <f t="shared" si="152"/>
        <v>5.0999999999999996</v>
      </c>
      <c r="L173" s="169">
        <f t="shared" si="153"/>
        <v>193.28</v>
      </c>
      <c r="M173" s="170">
        <f t="shared" si="136"/>
        <v>198.38</v>
      </c>
      <c r="N173" s="165">
        <f t="shared" si="162"/>
        <v>3.2655299999999996</v>
      </c>
      <c r="O173" s="166">
        <f t="shared" si="162"/>
        <v>123.757184</v>
      </c>
      <c r="P173" s="167">
        <f t="shared" si="142"/>
        <v>127.02</v>
      </c>
      <c r="Q173" s="168">
        <f t="shared" si="143"/>
        <v>6.5310599999999992</v>
      </c>
      <c r="R173" s="169">
        <f t="shared" si="144"/>
        <v>247.51436799999999</v>
      </c>
      <c r="S173" s="169">
        <f t="shared" si="145"/>
        <v>254.04</v>
      </c>
      <c r="T173" s="161">
        <f t="shared" si="161"/>
        <v>1.003164449955838E-4</v>
      </c>
    </row>
    <row r="174" spans="2:20" x14ac:dyDescent="0.25">
      <c r="B174" s="162" t="s">
        <v>1496</v>
      </c>
      <c r="C174" s="160">
        <v>59252</v>
      </c>
      <c r="D174" s="171" t="s">
        <v>214</v>
      </c>
      <c r="E174" s="163" t="s">
        <v>1358</v>
      </c>
      <c r="F174" s="160" t="s">
        <v>22</v>
      </c>
      <c r="G174" s="164">
        <v>6</v>
      </c>
      <c r="H174" s="416">
        <v>61.15</v>
      </c>
      <c r="I174" s="166">
        <v>1073.4000000000001</v>
      </c>
      <c r="J174" s="167">
        <f t="shared" si="147"/>
        <v>1134.55</v>
      </c>
      <c r="K174" s="168">
        <f t="shared" si="152"/>
        <v>366.9</v>
      </c>
      <c r="L174" s="169">
        <f t="shared" si="153"/>
        <v>6440.4000000000005</v>
      </c>
      <c r="M174" s="170">
        <f t="shared" si="136"/>
        <v>6807.3</v>
      </c>
      <c r="N174" s="165">
        <f t="shared" si="162"/>
        <v>78.308689999999999</v>
      </c>
      <c r="O174" s="166">
        <f t="shared" si="162"/>
        <v>1374.5960400000001</v>
      </c>
      <c r="P174" s="167">
        <f t="shared" ref="P174" si="163">TRUNC(SUM(N174:O174),2)</f>
        <v>1452.9</v>
      </c>
      <c r="Q174" s="168">
        <f t="shared" si="143"/>
        <v>469.85213999999996</v>
      </c>
      <c r="R174" s="169">
        <f t="shared" si="144"/>
        <v>8247.5762400000003</v>
      </c>
      <c r="S174" s="169">
        <f t="shared" si="145"/>
        <v>8717.42</v>
      </c>
      <c r="T174" s="161">
        <f t="shared" si="161"/>
        <v>3.4423735787017878E-3</v>
      </c>
    </row>
    <row r="175" spans="2:20" x14ac:dyDescent="0.25">
      <c r="B175" s="162" t="s">
        <v>1497</v>
      </c>
      <c r="C175" s="160" t="s">
        <v>1041</v>
      </c>
      <c r="D175" s="171" t="s">
        <v>125</v>
      </c>
      <c r="E175" s="163" t="s">
        <v>1042</v>
      </c>
      <c r="F175" s="160" t="s">
        <v>22</v>
      </c>
      <c r="G175" s="164">
        <v>2</v>
      </c>
      <c r="H175" s="416">
        <v>2.95</v>
      </c>
      <c r="I175" s="166">
        <v>111.38</v>
      </c>
      <c r="J175" s="167">
        <f t="shared" si="147"/>
        <v>114.33</v>
      </c>
      <c r="K175" s="168">
        <f t="shared" si="152"/>
        <v>5.9</v>
      </c>
      <c r="L175" s="169">
        <f t="shared" si="153"/>
        <v>222.76</v>
      </c>
      <c r="M175" s="170">
        <f t="shared" si="136"/>
        <v>228.66</v>
      </c>
      <c r="N175" s="165">
        <f t="shared" si="162"/>
        <v>3.7777700000000003</v>
      </c>
      <c r="O175" s="166">
        <f t="shared" si="162"/>
        <v>142.633228</v>
      </c>
      <c r="P175" s="167">
        <f t="shared" si="142"/>
        <v>146.41</v>
      </c>
      <c r="Q175" s="168">
        <f t="shared" si="143"/>
        <v>7.5555400000000006</v>
      </c>
      <c r="R175" s="169">
        <f t="shared" si="144"/>
        <v>285.26645600000001</v>
      </c>
      <c r="S175" s="169">
        <f t="shared" si="145"/>
        <v>292.82</v>
      </c>
      <c r="T175" s="161">
        <f t="shared" si="161"/>
        <v>1.1563006386241083E-4</v>
      </c>
    </row>
    <row r="176" spans="2:20" ht="25.5" x14ac:dyDescent="0.25">
      <c r="B176" s="162" t="s">
        <v>1498</v>
      </c>
      <c r="C176" s="160" t="s">
        <v>1043</v>
      </c>
      <c r="D176" s="171" t="s">
        <v>905</v>
      </c>
      <c r="E176" s="163" t="s">
        <v>1044</v>
      </c>
      <c r="F176" s="160" t="s">
        <v>847</v>
      </c>
      <c r="G176" s="164">
        <v>576</v>
      </c>
      <c r="H176" s="416">
        <v>4</v>
      </c>
      <c r="I176" s="166">
        <v>22.12</v>
      </c>
      <c r="J176" s="167">
        <f t="shared" si="147"/>
        <v>26.12</v>
      </c>
      <c r="K176" s="168">
        <f t="shared" si="152"/>
        <v>2304</v>
      </c>
      <c r="L176" s="169">
        <f t="shared" si="153"/>
        <v>12741.12</v>
      </c>
      <c r="M176" s="170">
        <f t="shared" si="136"/>
        <v>15045.12</v>
      </c>
      <c r="N176" s="165">
        <f t="shared" si="162"/>
        <v>5.1223999999999998</v>
      </c>
      <c r="O176" s="166">
        <f t="shared" si="162"/>
        <v>28.326872000000002</v>
      </c>
      <c r="P176" s="167">
        <f t="shared" si="142"/>
        <v>33.44</v>
      </c>
      <c r="Q176" s="168">
        <f t="shared" si="143"/>
        <v>2950.5023999999999</v>
      </c>
      <c r="R176" s="169">
        <f t="shared" si="144"/>
        <v>16316.278272000001</v>
      </c>
      <c r="S176" s="169">
        <f t="shared" si="145"/>
        <v>19266.78</v>
      </c>
      <c r="T176" s="161">
        <f t="shared" si="161"/>
        <v>7.6081517718155174E-3</v>
      </c>
    </row>
    <row r="177" spans="2:20" x14ac:dyDescent="0.25">
      <c r="B177" s="162" t="s">
        <v>1499</v>
      </c>
      <c r="C177" s="160" t="s">
        <v>1045</v>
      </c>
      <c r="D177" s="171" t="s">
        <v>267</v>
      </c>
      <c r="E177" s="163" t="s">
        <v>1046</v>
      </c>
      <c r="F177" s="160" t="s">
        <v>22</v>
      </c>
      <c r="G177" s="164">
        <v>288</v>
      </c>
      <c r="H177" s="416">
        <v>6.29</v>
      </c>
      <c r="I177" s="166">
        <v>36.89</v>
      </c>
      <c r="J177" s="167">
        <f t="shared" si="147"/>
        <v>43.18</v>
      </c>
      <c r="K177" s="168">
        <f t="shared" si="152"/>
        <v>1811.52</v>
      </c>
      <c r="L177" s="169">
        <f t="shared" si="153"/>
        <v>10624.32</v>
      </c>
      <c r="M177" s="170">
        <f t="shared" si="136"/>
        <v>12435.84</v>
      </c>
      <c r="N177" s="165">
        <f t="shared" si="162"/>
        <v>8.0549739999999996</v>
      </c>
      <c r="O177" s="166">
        <f t="shared" si="162"/>
        <v>47.241334000000002</v>
      </c>
      <c r="P177" s="167">
        <f t="shared" si="142"/>
        <v>55.29</v>
      </c>
      <c r="Q177" s="168">
        <f t="shared" si="143"/>
        <v>2319.832512</v>
      </c>
      <c r="R177" s="169">
        <f t="shared" si="144"/>
        <v>13605.504192</v>
      </c>
      <c r="S177" s="169">
        <f t="shared" si="145"/>
        <v>15925.33</v>
      </c>
      <c r="T177" s="161">
        <f t="shared" si="161"/>
        <v>6.2886651353390045E-3</v>
      </c>
    </row>
    <row r="178" spans="2:20" ht="38.25" x14ac:dyDescent="0.25">
      <c r="B178" s="162" t="s">
        <v>1500</v>
      </c>
      <c r="C178" s="160" t="s">
        <v>1251</v>
      </c>
      <c r="D178" s="171" t="s">
        <v>125</v>
      </c>
      <c r="E178" s="163" t="s">
        <v>1252</v>
      </c>
      <c r="F178" s="160" t="s">
        <v>22</v>
      </c>
      <c r="G178" s="164">
        <v>30</v>
      </c>
      <c r="H178" s="416">
        <v>6.27</v>
      </c>
      <c r="I178" s="166">
        <v>7.15</v>
      </c>
      <c r="J178" s="167">
        <f t="shared" si="147"/>
        <v>13.42</v>
      </c>
      <c r="K178" s="168">
        <f t="shared" si="152"/>
        <v>188.1</v>
      </c>
      <c r="L178" s="169">
        <f t="shared" si="153"/>
        <v>214.5</v>
      </c>
      <c r="M178" s="170">
        <f t="shared" si="136"/>
        <v>402.6</v>
      </c>
      <c r="N178" s="165">
        <f t="shared" si="162"/>
        <v>8.029361999999999</v>
      </c>
      <c r="O178" s="166">
        <f t="shared" si="162"/>
        <v>9.1562900000000003</v>
      </c>
      <c r="P178" s="167">
        <f t="shared" ref="P178:P209" si="164">TRUNC(SUM(N178:O178),2)</f>
        <v>17.18</v>
      </c>
      <c r="Q178" s="168">
        <f t="shared" si="143"/>
        <v>240.88085999999998</v>
      </c>
      <c r="R178" s="169">
        <f t="shared" si="144"/>
        <v>274.68869999999998</v>
      </c>
      <c r="S178" s="169">
        <f t="shared" si="145"/>
        <v>515.55999999999995</v>
      </c>
      <c r="T178" s="161">
        <f t="shared" si="161"/>
        <v>2.0358662565707439E-4</v>
      </c>
    </row>
    <row r="179" spans="2:20" ht="38.25" x14ac:dyDescent="0.25">
      <c r="B179" s="162" t="s">
        <v>1501</v>
      </c>
      <c r="C179" s="160" t="s">
        <v>1282</v>
      </c>
      <c r="D179" s="160" t="s">
        <v>125</v>
      </c>
      <c r="E179" s="209" t="s">
        <v>1283</v>
      </c>
      <c r="F179" s="203" t="s">
        <v>22</v>
      </c>
      <c r="G179" s="204">
        <v>2</v>
      </c>
      <c r="H179" s="417">
        <v>16.88</v>
      </c>
      <c r="I179" s="418">
        <v>997.22</v>
      </c>
      <c r="J179" s="167">
        <f t="shared" si="147"/>
        <v>1014.1</v>
      </c>
      <c r="K179" s="168">
        <f t="shared" si="152"/>
        <v>33.76</v>
      </c>
      <c r="L179" s="169">
        <f t="shared" si="153"/>
        <v>1994.44</v>
      </c>
      <c r="M179" s="170">
        <f t="shared" si="136"/>
        <v>2028.2</v>
      </c>
      <c r="N179" s="165">
        <f t="shared" si="162"/>
        <v>21.616527999999999</v>
      </c>
      <c r="O179" s="166">
        <f t="shared" si="162"/>
        <v>1277.0399319999999</v>
      </c>
      <c r="P179" s="167">
        <f t="shared" si="164"/>
        <v>1298.6500000000001</v>
      </c>
      <c r="Q179" s="168">
        <f t="shared" si="143"/>
        <v>43.233055999999998</v>
      </c>
      <c r="R179" s="169">
        <f t="shared" si="144"/>
        <v>2554.0798639999998</v>
      </c>
      <c r="S179" s="169">
        <f t="shared" si="145"/>
        <v>2597.31</v>
      </c>
      <c r="T179" s="161">
        <f t="shared" si="161"/>
        <v>1.0256373238524633E-3</v>
      </c>
    </row>
    <row r="180" spans="2:20" x14ac:dyDescent="0.25">
      <c r="B180" s="339" t="s">
        <v>1038</v>
      </c>
      <c r="C180" s="357"/>
      <c r="D180" s="358"/>
      <c r="E180" s="341" t="s">
        <v>1047</v>
      </c>
      <c r="F180" s="340"/>
      <c r="G180" s="356"/>
      <c r="H180" s="347"/>
      <c r="I180" s="348"/>
      <c r="J180" s="349">
        <f t="shared" si="147"/>
        <v>0</v>
      </c>
      <c r="K180" s="393">
        <f>SUM(K181:K192)</f>
        <v>25493.58</v>
      </c>
      <c r="L180" s="393">
        <f>SUM(L181:L192)</f>
        <v>168638.49</v>
      </c>
      <c r="M180" s="393">
        <f>SUM(M181:M192)</f>
        <v>194132.06999999998</v>
      </c>
      <c r="N180" s="394">
        <f t="shared" si="162"/>
        <v>0</v>
      </c>
      <c r="O180" s="348">
        <f t="shared" si="162"/>
        <v>0</v>
      </c>
      <c r="P180" s="349">
        <f t="shared" si="164"/>
        <v>0</v>
      </c>
      <c r="Q180" s="393">
        <f>SUM(Q181:Q192)</f>
        <v>32647.078547999994</v>
      </c>
      <c r="R180" s="393">
        <f>SUM(R181:R192)</f>
        <v>215958.45029400001</v>
      </c>
      <c r="S180" s="393">
        <f>SUM(S181:S192)</f>
        <v>248605.46</v>
      </c>
      <c r="T180" s="346">
        <f>+S180/$S$212</f>
        <v>9.8170429671279355E-2</v>
      </c>
    </row>
    <row r="181" spans="2:20" x14ac:dyDescent="0.25">
      <c r="B181" s="205" t="s">
        <v>1040</v>
      </c>
      <c r="C181" s="160" t="s">
        <v>1049</v>
      </c>
      <c r="D181" s="160" t="s">
        <v>214</v>
      </c>
      <c r="E181" s="209" t="s">
        <v>1050</v>
      </c>
      <c r="F181" s="203" t="s">
        <v>22</v>
      </c>
      <c r="G181" s="204">
        <v>9</v>
      </c>
      <c r="H181" s="424">
        <v>42.01</v>
      </c>
      <c r="I181" s="203">
        <v>1591.16</v>
      </c>
      <c r="J181" s="167">
        <f t="shared" si="147"/>
        <v>1633.17</v>
      </c>
      <c r="K181" s="425">
        <f>+H181*G181</f>
        <v>378.09</v>
      </c>
      <c r="L181" s="169">
        <f t="shared" ref="L181:L209" si="165">+I181*G181</f>
        <v>14320.44</v>
      </c>
      <c r="M181" s="170">
        <f t="shared" ref="M181:M209" si="166">TRUNC(SUM(K181:L181),2)</f>
        <v>14698.53</v>
      </c>
      <c r="N181" s="165">
        <f t="shared" si="162"/>
        <v>53.798005999999994</v>
      </c>
      <c r="O181" s="166">
        <f t="shared" si="162"/>
        <v>2037.639496</v>
      </c>
      <c r="P181" s="167">
        <f t="shared" si="164"/>
        <v>2091.4299999999998</v>
      </c>
      <c r="Q181" s="168">
        <f t="shared" ref="Q181:Q209" si="167">+N181*G181</f>
        <v>484.18205399999994</v>
      </c>
      <c r="R181" s="169">
        <f t="shared" ref="R181:R209" si="168">+O181*G181</f>
        <v>18338.755464000002</v>
      </c>
      <c r="S181" s="169">
        <f t="shared" ref="S181:S209" si="169">TRUNC(SUM(Q181:R181),2)</f>
        <v>18822.93</v>
      </c>
      <c r="T181" s="161">
        <f t="shared" ref="T181:T192" si="170">+S181/$S$212</f>
        <v>7.4328823098753121E-3</v>
      </c>
    </row>
    <row r="182" spans="2:20" x14ac:dyDescent="0.25">
      <c r="B182" s="205" t="s">
        <v>1471</v>
      </c>
      <c r="C182" s="160">
        <v>59251</v>
      </c>
      <c r="D182" s="160" t="s">
        <v>214</v>
      </c>
      <c r="E182" s="209" t="s">
        <v>778</v>
      </c>
      <c r="F182" s="203" t="s">
        <v>22</v>
      </c>
      <c r="G182" s="204">
        <v>9</v>
      </c>
      <c r="H182" s="205">
        <v>75.459999999999994</v>
      </c>
      <c r="I182" s="203">
        <v>593.45000000000005</v>
      </c>
      <c r="J182" s="167">
        <f t="shared" si="147"/>
        <v>668.91</v>
      </c>
      <c r="K182" s="168">
        <f t="shared" ref="K182:K209" si="171">+H182*G182</f>
        <v>679.14</v>
      </c>
      <c r="L182" s="169">
        <f t="shared" si="165"/>
        <v>5341.05</v>
      </c>
      <c r="M182" s="170">
        <f t="shared" si="166"/>
        <v>6020.19</v>
      </c>
      <c r="N182" s="165">
        <f t="shared" si="162"/>
        <v>96.634075999999993</v>
      </c>
      <c r="O182" s="166">
        <f t="shared" si="162"/>
        <v>759.97207000000003</v>
      </c>
      <c r="P182" s="167">
        <f t="shared" si="164"/>
        <v>856.6</v>
      </c>
      <c r="Q182" s="168">
        <f t="shared" si="167"/>
        <v>869.706684</v>
      </c>
      <c r="R182" s="169">
        <f t="shared" si="168"/>
        <v>6839.74863</v>
      </c>
      <c r="S182" s="169">
        <f t="shared" si="169"/>
        <v>7709.45</v>
      </c>
      <c r="T182" s="161">
        <f t="shared" si="170"/>
        <v>3.044341902342952E-3</v>
      </c>
    </row>
    <row r="183" spans="2:20" ht="25.5" x14ac:dyDescent="0.25">
      <c r="B183" s="205" t="s">
        <v>1472</v>
      </c>
      <c r="C183" s="160" t="s">
        <v>776</v>
      </c>
      <c r="D183" s="160" t="s">
        <v>125</v>
      </c>
      <c r="E183" s="209" t="s">
        <v>562</v>
      </c>
      <c r="F183" s="203" t="s">
        <v>245</v>
      </c>
      <c r="G183" s="204">
        <v>9</v>
      </c>
      <c r="H183" s="205">
        <v>5.92</v>
      </c>
      <c r="I183" s="203">
        <v>516.27</v>
      </c>
      <c r="J183" s="167">
        <f t="shared" si="147"/>
        <v>522.19000000000005</v>
      </c>
      <c r="K183" s="168">
        <f t="shared" si="171"/>
        <v>53.28</v>
      </c>
      <c r="L183" s="169">
        <f t="shared" si="165"/>
        <v>4646.43</v>
      </c>
      <c r="M183" s="170">
        <f t="shared" si="166"/>
        <v>4699.71</v>
      </c>
      <c r="N183" s="165">
        <f t="shared" si="162"/>
        <v>7.5811519999999994</v>
      </c>
      <c r="O183" s="166">
        <f t="shared" si="162"/>
        <v>661.13536199999999</v>
      </c>
      <c r="P183" s="167">
        <f t="shared" si="164"/>
        <v>668.71</v>
      </c>
      <c r="Q183" s="168">
        <f t="shared" si="167"/>
        <v>68.230367999999999</v>
      </c>
      <c r="R183" s="169">
        <f t="shared" si="168"/>
        <v>5950.2182579999999</v>
      </c>
      <c r="S183" s="169">
        <f t="shared" si="169"/>
        <v>6018.44</v>
      </c>
      <c r="T183" s="161">
        <f t="shared" si="170"/>
        <v>2.3765883530909361E-3</v>
      </c>
    </row>
    <row r="184" spans="2:20" x14ac:dyDescent="0.25">
      <c r="B184" s="205" t="s">
        <v>1473</v>
      </c>
      <c r="C184" s="160" t="s">
        <v>779</v>
      </c>
      <c r="D184" s="160" t="s">
        <v>214</v>
      </c>
      <c r="E184" s="209" t="s">
        <v>780</v>
      </c>
      <c r="F184" s="203" t="s">
        <v>22</v>
      </c>
      <c r="G184" s="204">
        <v>72</v>
      </c>
      <c r="H184" s="205">
        <v>2.5499999999999998</v>
      </c>
      <c r="I184" s="203">
        <v>64.91</v>
      </c>
      <c r="J184" s="167">
        <f t="shared" si="147"/>
        <v>67.459999999999994</v>
      </c>
      <c r="K184" s="168">
        <f t="shared" si="171"/>
        <v>183.6</v>
      </c>
      <c r="L184" s="169">
        <f t="shared" si="165"/>
        <v>4673.5199999999995</v>
      </c>
      <c r="M184" s="170">
        <f t="shared" si="166"/>
        <v>4857.12</v>
      </c>
      <c r="N184" s="165">
        <f t="shared" si="162"/>
        <v>3.2655299999999996</v>
      </c>
      <c r="O184" s="166">
        <f t="shared" si="162"/>
        <v>83.123745999999997</v>
      </c>
      <c r="P184" s="167">
        <f t="shared" si="164"/>
        <v>86.38</v>
      </c>
      <c r="Q184" s="168">
        <f t="shared" si="167"/>
        <v>235.11815999999996</v>
      </c>
      <c r="R184" s="169">
        <f t="shared" si="168"/>
        <v>5984.9097119999997</v>
      </c>
      <c r="S184" s="169">
        <f t="shared" si="169"/>
        <v>6220.02</v>
      </c>
      <c r="T184" s="161">
        <f t="shared" si="170"/>
        <v>2.4561891599804409E-3</v>
      </c>
    </row>
    <row r="185" spans="2:20" ht="25.5" x14ac:dyDescent="0.25">
      <c r="B185" s="205" t="s">
        <v>1474</v>
      </c>
      <c r="C185" s="160" t="s">
        <v>781</v>
      </c>
      <c r="D185" s="160" t="s">
        <v>31</v>
      </c>
      <c r="E185" s="209" t="s">
        <v>782</v>
      </c>
      <c r="F185" s="203" t="s">
        <v>22</v>
      </c>
      <c r="G185" s="204">
        <v>54</v>
      </c>
      <c r="H185" s="205">
        <v>183.89</v>
      </c>
      <c r="I185" s="203">
        <v>716.38</v>
      </c>
      <c r="J185" s="167">
        <f t="shared" si="147"/>
        <v>900.27</v>
      </c>
      <c r="K185" s="168">
        <f t="shared" si="171"/>
        <v>9930.06</v>
      </c>
      <c r="L185" s="169">
        <f t="shared" si="165"/>
        <v>38684.519999999997</v>
      </c>
      <c r="M185" s="170">
        <f t="shared" si="166"/>
        <v>48614.58</v>
      </c>
      <c r="N185" s="165">
        <f t="shared" si="162"/>
        <v>235.48953399999996</v>
      </c>
      <c r="O185" s="166">
        <f t="shared" si="162"/>
        <v>917.39622799999995</v>
      </c>
      <c r="P185" s="167">
        <f t="shared" si="164"/>
        <v>1152.8800000000001</v>
      </c>
      <c r="Q185" s="168">
        <f t="shared" si="167"/>
        <v>12716.434835999999</v>
      </c>
      <c r="R185" s="169">
        <f t="shared" si="168"/>
        <v>49539.396311999997</v>
      </c>
      <c r="S185" s="169">
        <f t="shared" si="169"/>
        <v>62255.83</v>
      </c>
      <c r="T185" s="161">
        <f t="shared" si="170"/>
        <v>2.4583859021608472E-2</v>
      </c>
    </row>
    <row r="186" spans="2:20" x14ac:dyDescent="0.25">
      <c r="B186" s="205" t="s">
        <v>1475</v>
      </c>
      <c r="C186" s="160" t="s">
        <v>783</v>
      </c>
      <c r="D186" s="160" t="s">
        <v>214</v>
      </c>
      <c r="E186" s="209" t="s">
        <v>784</v>
      </c>
      <c r="F186" s="203" t="s">
        <v>22</v>
      </c>
      <c r="G186" s="204">
        <v>9</v>
      </c>
      <c r="H186" s="205">
        <v>2.5499999999999998</v>
      </c>
      <c r="I186" s="203">
        <v>96.64</v>
      </c>
      <c r="J186" s="167">
        <f t="shared" si="147"/>
        <v>99.19</v>
      </c>
      <c r="K186" s="168">
        <f t="shared" si="171"/>
        <v>22.95</v>
      </c>
      <c r="L186" s="169">
        <f t="shared" si="165"/>
        <v>869.76</v>
      </c>
      <c r="M186" s="170">
        <f t="shared" si="166"/>
        <v>892.71</v>
      </c>
      <c r="N186" s="165">
        <f t="shared" si="162"/>
        <v>3.2655299999999996</v>
      </c>
      <c r="O186" s="166">
        <f t="shared" si="162"/>
        <v>123.757184</v>
      </c>
      <c r="P186" s="167">
        <f t="shared" si="164"/>
        <v>127.02</v>
      </c>
      <c r="Q186" s="168">
        <f t="shared" si="167"/>
        <v>29.389769999999995</v>
      </c>
      <c r="R186" s="169">
        <f t="shared" si="168"/>
        <v>1113.814656</v>
      </c>
      <c r="S186" s="169">
        <f t="shared" si="169"/>
        <v>1143.2</v>
      </c>
      <c r="T186" s="161">
        <f t="shared" si="170"/>
        <v>4.5143190016907342E-4</v>
      </c>
    </row>
    <row r="187" spans="2:20" x14ac:dyDescent="0.25">
      <c r="B187" s="205" t="s">
        <v>1359</v>
      </c>
      <c r="C187" s="160">
        <v>59252</v>
      </c>
      <c r="D187" s="171" t="s">
        <v>214</v>
      </c>
      <c r="E187" s="163" t="s">
        <v>1358</v>
      </c>
      <c r="F187" s="160" t="s">
        <v>22</v>
      </c>
      <c r="G187" s="164">
        <v>18</v>
      </c>
      <c r="H187" s="427">
        <v>61.15</v>
      </c>
      <c r="I187" s="428">
        <v>1073.4000000000001</v>
      </c>
      <c r="J187" s="167">
        <f t="shared" si="147"/>
        <v>1134.55</v>
      </c>
      <c r="K187" s="168">
        <f t="shared" si="171"/>
        <v>1100.7</v>
      </c>
      <c r="L187" s="169">
        <f t="shared" si="165"/>
        <v>19321.2</v>
      </c>
      <c r="M187" s="170">
        <f t="shared" si="166"/>
        <v>20421.900000000001</v>
      </c>
      <c r="N187" s="165">
        <f t="shared" si="162"/>
        <v>78.308689999999999</v>
      </c>
      <c r="O187" s="166">
        <f t="shared" si="162"/>
        <v>1374.5960400000001</v>
      </c>
      <c r="P187" s="167">
        <f t="shared" si="164"/>
        <v>1452.9</v>
      </c>
      <c r="Q187" s="168">
        <f t="shared" si="167"/>
        <v>1409.5564199999999</v>
      </c>
      <c r="R187" s="169">
        <f t="shared" si="168"/>
        <v>24742.728720000003</v>
      </c>
      <c r="S187" s="169">
        <f t="shared" si="169"/>
        <v>26152.28</v>
      </c>
      <c r="T187" s="161">
        <f t="shared" si="170"/>
        <v>1.0327128633794308E-2</v>
      </c>
    </row>
    <row r="188" spans="2:20" x14ac:dyDescent="0.25">
      <c r="B188" s="205" t="s">
        <v>1476</v>
      </c>
      <c r="C188" s="160" t="s">
        <v>1041</v>
      </c>
      <c r="D188" s="160" t="s">
        <v>125</v>
      </c>
      <c r="E188" s="209" t="s">
        <v>1042</v>
      </c>
      <c r="F188" s="203" t="s">
        <v>22</v>
      </c>
      <c r="G188" s="204">
        <v>9</v>
      </c>
      <c r="H188" s="205">
        <v>2.95</v>
      </c>
      <c r="I188" s="203">
        <v>111.38</v>
      </c>
      <c r="J188" s="167">
        <f t="shared" si="147"/>
        <v>114.33</v>
      </c>
      <c r="K188" s="168">
        <f t="shared" si="171"/>
        <v>26.55</v>
      </c>
      <c r="L188" s="169">
        <f t="shared" si="165"/>
        <v>1002.42</v>
      </c>
      <c r="M188" s="170">
        <f t="shared" si="166"/>
        <v>1028.97</v>
      </c>
      <c r="N188" s="165">
        <f t="shared" si="162"/>
        <v>3.7777700000000003</v>
      </c>
      <c r="O188" s="166">
        <f t="shared" si="162"/>
        <v>142.633228</v>
      </c>
      <c r="P188" s="167">
        <f t="shared" si="164"/>
        <v>146.41</v>
      </c>
      <c r="Q188" s="168">
        <f t="shared" si="167"/>
        <v>33.999930000000006</v>
      </c>
      <c r="R188" s="169">
        <f t="shared" si="168"/>
        <v>1283.6990519999999</v>
      </c>
      <c r="S188" s="169">
        <f t="shared" si="169"/>
        <v>1317.69</v>
      </c>
      <c r="T188" s="161">
        <f t="shared" si="170"/>
        <v>5.2033528738084874E-4</v>
      </c>
    </row>
    <row r="189" spans="2:20" ht="25.5" x14ac:dyDescent="0.25">
      <c r="B189" s="205" t="s">
        <v>1477</v>
      </c>
      <c r="C189" s="160" t="s">
        <v>1043</v>
      </c>
      <c r="D189" s="160" t="s">
        <v>905</v>
      </c>
      <c r="E189" s="209" t="s">
        <v>1044</v>
      </c>
      <c r="F189" s="203" t="s">
        <v>847</v>
      </c>
      <c r="G189" s="204">
        <v>1728</v>
      </c>
      <c r="H189" s="205">
        <v>4</v>
      </c>
      <c r="I189" s="203">
        <v>22.12</v>
      </c>
      <c r="J189" s="167">
        <f t="shared" si="147"/>
        <v>26.12</v>
      </c>
      <c r="K189" s="168">
        <f t="shared" si="171"/>
        <v>6912</v>
      </c>
      <c r="L189" s="169">
        <f t="shared" si="165"/>
        <v>38223.360000000001</v>
      </c>
      <c r="M189" s="170">
        <f t="shared" si="166"/>
        <v>45135.360000000001</v>
      </c>
      <c r="N189" s="165">
        <f t="shared" si="162"/>
        <v>5.1223999999999998</v>
      </c>
      <c r="O189" s="166">
        <f t="shared" si="162"/>
        <v>28.326872000000002</v>
      </c>
      <c r="P189" s="167">
        <f t="shared" si="164"/>
        <v>33.44</v>
      </c>
      <c r="Q189" s="168">
        <f t="shared" si="167"/>
        <v>8851.5072</v>
      </c>
      <c r="R189" s="169">
        <f t="shared" si="168"/>
        <v>48948.834816000002</v>
      </c>
      <c r="S189" s="169">
        <f t="shared" si="169"/>
        <v>57800.34</v>
      </c>
      <c r="T189" s="161">
        <f t="shared" si="170"/>
        <v>2.2824455315446551E-2</v>
      </c>
    </row>
    <row r="190" spans="2:20" x14ac:dyDescent="0.25">
      <c r="B190" s="205" t="s">
        <v>1478</v>
      </c>
      <c r="C190" s="160" t="s">
        <v>1045</v>
      </c>
      <c r="D190" s="160" t="s">
        <v>267</v>
      </c>
      <c r="E190" s="209" t="s">
        <v>1046</v>
      </c>
      <c r="F190" s="203" t="s">
        <v>22</v>
      </c>
      <c r="G190" s="204">
        <v>864</v>
      </c>
      <c r="H190" s="205">
        <v>6.29</v>
      </c>
      <c r="I190" s="203">
        <v>36.89</v>
      </c>
      <c r="J190" s="167">
        <f t="shared" si="147"/>
        <v>43.18</v>
      </c>
      <c r="K190" s="168">
        <f t="shared" si="171"/>
        <v>5434.56</v>
      </c>
      <c r="L190" s="169">
        <f t="shared" si="165"/>
        <v>31872.959999999999</v>
      </c>
      <c r="M190" s="170">
        <f t="shared" si="166"/>
        <v>37307.519999999997</v>
      </c>
      <c r="N190" s="165">
        <f t="shared" si="162"/>
        <v>8.0549739999999996</v>
      </c>
      <c r="O190" s="166">
        <f t="shared" si="162"/>
        <v>47.241334000000002</v>
      </c>
      <c r="P190" s="167">
        <f t="shared" si="164"/>
        <v>55.29</v>
      </c>
      <c r="Q190" s="168">
        <f t="shared" si="167"/>
        <v>6959.4975359999999</v>
      </c>
      <c r="R190" s="169">
        <f t="shared" si="168"/>
        <v>40816.512576000001</v>
      </c>
      <c r="S190" s="169">
        <f t="shared" si="169"/>
        <v>47776.01</v>
      </c>
      <c r="T190" s="161">
        <f t="shared" si="170"/>
        <v>1.8866003303705959E-2</v>
      </c>
    </row>
    <row r="191" spans="2:20" ht="38.25" x14ac:dyDescent="0.25">
      <c r="B191" s="205" t="s">
        <v>1479</v>
      </c>
      <c r="C191" s="160" t="s">
        <v>1251</v>
      </c>
      <c r="D191" s="160" t="s">
        <v>125</v>
      </c>
      <c r="E191" s="209" t="s">
        <v>1252</v>
      </c>
      <c r="F191" s="203" t="s">
        <v>22</v>
      </c>
      <c r="G191" s="204">
        <v>99</v>
      </c>
      <c r="H191" s="205">
        <v>6.27</v>
      </c>
      <c r="I191" s="203">
        <v>7.15</v>
      </c>
      <c r="J191" s="167">
        <f t="shared" si="147"/>
        <v>13.42</v>
      </c>
      <c r="K191" s="168">
        <f t="shared" si="171"/>
        <v>620.7299999999999</v>
      </c>
      <c r="L191" s="169">
        <f t="shared" si="165"/>
        <v>707.85</v>
      </c>
      <c r="M191" s="170">
        <f t="shared" si="166"/>
        <v>1328.58</v>
      </c>
      <c r="N191" s="165">
        <f t="shared" si="162"/>
        <v>8.029361999999999</v>
      </c>
      <c r="O191" s="166">
        <f t="shared" si="162"/>
        <v>9.1562900000000003</v>
      </c>
      <c r="P191" s="167">
        <f t="shared" si="164"/>
        <v>17.18</v>
      </c>
      <c r="Q191" s="168">
        <f t="shared" si="167"/>
        <v>794.90683799999988</v>
      </c>
      <c r="R191" s="169">
        <f t="shared" si="168"/>
        <v>906.47271000000001</v>
      </c>
      <c r="S191" s="169">
        <f t="shared" si="169"/>
        <v>1701.37</v>
      </c>
      <c r="T191" s="161">
        <f t="shared" si="170"/>
        <v>6.7184455212618646E-4</v>
      </c>
    </row>
    <row r="192" spans="2:20" ht="38.25" x14ac:dyDescent="0.25">
      <c r="B192" s="205" t="s">
        <v>1250</v>
      </c>
      <c r="C192" s="160" t="s">
        <v>1282</v>
      </c>
      <c r="D192" s="160" t="s">
        <v>125</v>
      </c>
      <c r="E192" s="209" t="s">
        <v>1283</v>
      </c>
      <c r="F192" s="203" t="s">
        <v>22</v>
      </c>
      <c r="G192" s="204">
        <v>9</v>
      </c>
      <c r="H192" s="205">
        <v>16.88</v>
      </c>
      <c r="I192" s="203">
        <v>997.22</v>
      </c>
      <c r="J192" s="167">
        <f t="shared" si="147"/>
        <v>1014.1</v>
      </c>
      <c r="K192" s="168">
        <f t="shared" si="171"/>
        <v>151.91999999999999</v>
      </c>
      <c r="L192" s="169">
        <f t="shared" si="165"/>
        <v>8974.98</v>
      </c>
      <c r="M192" s="170">
        <f t="shared" si="166"/>
        <v>9126.9</v>
      </c>
      <c r="N192" s="165">
        <f t="shared" si="162"/>
        <v>21.616527999999999</v>
      </c>
      <c r="O192" s="166">
        <f t="shared" si="162"/>
        <v>1277.0399319999999</v>
      </c>
      <c r="P192" s="167">
        <f t="shared" si="164"/>
        <v>1298.6500000000001</v>
      </c>
      <c r="Q192" s="168">
        <f t="shared" si="167"/>
        <v>194.54875199999998</v>
      </c>
      <c r="R192" s="169">
        <f t="shared" si="168"/>
        <v>11493.359387999999</v>
      </c>
      <c r="S192" s="169">
        <f t="shared" si="169"/>
        <v>11687.9</v>
      </c>
      <c r="T192" s="161">
        <f t="shared" si="170"/>
        <v>4.6153699317583209E-3</v>
      </c>
    </row>
    <row r="193" spans="2:20" x14ac:dyDescent="0.25">
      <c r="B193" s="339" t="s">
        <v>1489</v>
      </c>
      <c r="C193" s="357"/>
      <c r="D193" s="358"/>
      <c r="E193" s="341" t="s">
        <v>1051</v>
      </c>
      <c r="F193" s="340"/>
      <c r="G193" s="356"/>
      <c r="H193" s="347"/>
      <c r="I193" s="348"/>
      <c r="J193" s="349">
        <f t="shared" si="147"/>
        <v>0</v>
      </c>
      <c r="K193" s="393">
        <f>SUM(K194:K204)</f>
        <v>7885.0499999999993</v>
      </c>
      <c r="L193" s="393">
        <f>SUM(L194:L204)</f>
        <v>67186.7</v>
      </c>
      <c r="M193" s="393">
        <f>SUM(M194:M204)</f>
        <v>75071.75</v>
      </c>
      <c r="N193" s="394">
        <f t="shared" ref="N193:O209" si="172">+H193*(1+$T$10)</f>
        <v>0</v>
      </c>
      <c r="O193" s="348">
        <f t="shared" si="172"/>
        <v>0</v>
      </c>
      <c r="P193" s="349">
        <f t="shared" si="164"/>
        <v>0</v>
      </c>
      <c r="Q193" s="393">
        <f>SUM(Q194:Q204)</f>
        <v>10097.59503</v>
      </c>
      <c r="R193" s="393">
        <f>SUM(R194:R204)</f>
        <v>86039.288020000007</v>
      </c>
      <c r="S193" s="393">
        <f>SUM(S194:S204)</f>
        <v>96136.85</v>
      </c>
      <c r="T193" s="346">
        <f>+S193/$S$212</f>
        <v>3.7962946878734416E-2</v>
      </c>
    </row>
    <row r="194" spans="2:20" x14ac:dyDescent="0.25">
      <c r="B194" s="205" t="s">
        <v>1048</v>
      </c>
      <c r="C194" s="160" t="s">
        <v>774</v>
      </c>
      <c r="D194" s="160" t="s">
        <v>214</v>
      </c>
      <c r="E194" s="209" t="s">
        <v>775</v>
      </c>
      <c r="F194" s="203" t="s">
        <v>22</v>
      </c>
      <c r="G194" s="204">
        <v>5</v>
      </c>
      <c r="H194" s="205">
        <v>42.01</v>
      </c>
      <c r="I194" s="203">
        <v>1599.16</v>
      </c>
      <c r="J194" s="167">
        <f t="shared" si="147"/>
        <v>1641.17</v>
      </c>
      <c r="K194" s="168">
        <f t="shared" si="171"/>
        <v>210.04999999999998</v>
      </c>
      <c r="L194" s="169">
        <f t="shared" si="165"/>
        <v>7995.8</v>
      </c>
      <c r="M194" s="170">
        <f t="shared" si="166"/>
        <v>8205.85</v>
      </c>
      <c r="N194" s="165">
        <f t="shared" si="172"/>
        <v>53.798005999999994</v>
      </c>
      <c r="O194" s="166">
        <f t="shared" si="172"/>
        <v>2047.8842959999999</v>
      </c>
      <c r="P194" s="167">
        <f t="shared" si="164"/>
        <v>2101.6799999999998</v>
      </c>
      <c r="Q194" s="168">
        <f t="shared" si="167"/>
        <v>268.99002999999999</v>
      </c>
      <c r="R194" s="169">
        <f t="shared" si="168"/>
        <v>10239.421479999999</v>
      </c>
      <c r="S194" s="169">
        <f t="shared" si="169"/>
        <v>10508.41</v>
      </c>
      <c r="T194" s="161">
        <f t="shared" ref="T194:T204" si="173">+S194/$S$212</f>
        <v>4.1496076749962321E-3</v>
      </c>
    </row>
    <row r="195" spans="2:20" ht="25.5" x14ac:dyDescent="0.25">
      <c r="B195" s="205" t="s">
        <v>1480</v>
      </c>
      <c r="C195" s="160" t="s">
        <v>776</v>
      </c>
      <c r="D195" s="160" t="s">
        <v>125</v>
      </c>
      <c r="E195" s="209" t="s">
        <v>562</v>
      </c>
      <c r="F195" s="203" t="s">
        <v>245</v>
      </c>
      <c r="G195" s="204">
        <v>5</v>
      </c>
      <c r="H195" s="205">
        <v>5.92</v>
      </c>
      <c r="I195" s="203">
        <v>516.27</v>
      </c>
      <c r="J195" s="167">
        <f t="shared" si="147"/>
        <v>522.19000000000005</v>
      </c>
      <c r="K195" s="168">
        <f t="shared" si="171"/>
        <v>29.6</v>
      </c>
      <c r="L195" s="169">
        <f t="shared" si="165"/>
        <v>2581.35</v>
      </c>
      <c r="M195" s="170">
        <f t="shared" si="166"/>
        <v>2610.9499999999998</v>
      </c>
      <c r="N195" s="165">
        <f t="shared" si="172"/>
        <v>7.5811519999999994</v>
      </c>
      <c r="O195" s="166">
        <f t="shared" si="172"/>
        <v>661.13536199999999</v>
      </c>
      <c r="P195" s="167">
        <f t="shared" si="164"/>
        <v>668.71</v>
      </c>
      <c r="Q195" s="168">
        <f t="shared" si="167"/>
        <v>37.905760000000001</v>
      </c>
      <c r="R195" s="169">
        <f t="shared" si="168"/>
        <v>3305.6768099999999</v>
      </c>
      <c r="S195" s="169">
        <f t="shared" si="169"/>
        <v>3343.58</v>
      </c>
      <c r="T195" s="161">
        <f t="shared" si="173"/>
        <v>1.3203277403492917E-3</v>
      </c>
    </row>
    <row r="196" spans="2:20" x14ac:dyDescent="0.25">
      <c r="B196" s="205" t="s">
        <v>1481</v>
      </c>
      <c r="C196" s="160" t="s">
        <v>777</v>
      </c>
      <c r="D196" s="160" t="s">
        <v>214</v>
      </c>
      <c r="E196" s="209" t="s">
        <v>778</v>
      </c>
      <c r="F196" s="203" t="s">
        <v>22</v>
      </c>
      <c r="G196" s="204">
        <v>5</v>
      </c>
      <c r="H196" s="205">
        <v>75.459999999999994</v>
      </c>
      <c r="I196" s="203">
        <v>593.45000000000005</v>
      </c>
      <c r="J196" s="167">
        <f t="shared" si="147"/>
        <v>668.91</v>
      </c>
      <c r="K196" s="168">
        <f t="shared" si="171"/>
        <v>377.29999999999995</v>
      </c>
      <c r="L196" s="169">
        <f t="shared" si="165"/>
        <v>2967.25</v>
      </c>
      <c r="M196" s="170">
        <f t="shared" si="166"/>
        <v>3344.55</v>
      </c>
      <c r="N196" s="165">
        <f t="shared" si="172"/>
        <v>96.634075999999993</v>
      </c>
      <c r="O196" s="166">
        <f t="shared" si="172"/>
        <v>759.97207000000003</v>
      </c>
      <c r="P196" s="167">
        <f t="shared" si="164"/>
        <v>856.6</v>
      </c>
      <c r="Q196" s="168">
        <f t="shared" si="167"/>
        <v>483.17037999999997</v>
      </c>
      <c r="R196" s="169">
        <f t="shared" si="168"/>
        <v>3799.8603499999999</v>
      </c>
      <c r="S196" s="169">
        <f t="shared" si="169"/>
        <v>4283.03</v>
      </c>
      <c r="T196" s="161">
        <f t="shared" si="173"/>
        <v>1.6913019343781895E-3</v>
      </c>
    </row>
    <row r="197" spans="2:20" x14ac:dyDescent="0.25">
      <c r="B197" s="205" t="s">
        <v>1482</v>
      </c>
      <c r="C197" s="160" t="s">
        <v>779</v>
      </c>
      <c r="D197" s="160" t="s">
        <v>214</v>
      </c>
      <c r="E197" s="209" t="s">
        <v>780</v>
      </c>
      <c r="F197" s="203" t="s">
        <v>22</v>
      </c>
      <c r="G197" s="204">
        <v>20</v>
      </c>
      <c r="H197" s="205">
        <v>2.5499999999999998</v>
      </c>
      <c r="I197" s="203">
        <v>64.91</v>
      </c>
      <c r="J197" s="167">
        <f t="shared" si="147"/>
        <v>67.459999999999994</v>
      </c>
      <c r="K197" s="168">
        <f t="shared" si="171"/>
        <v>51</v>
      </c>
      <c r="L197" s="169">
        <f t="shared" si="165"/>
        <v>1298.1999999999998</v>
      </c>
      <c r="M197" s="170">
        <f t="shared" si="166"/>
        <v>1349.2</v>
      </c>
      <c r="N197" s="165">
        <f t="shared" si="172"/>
        <v>3.2655299999999996</v>
      </c>
      <c r="O197" s="166">
        <f t="shared" si="172"/>
        <v>83.123745999999997</v>
      </c>
      <c r="P197" s="167">
        <f t="shared" si="164"/>
        <v>86.38</v>
      </c>
      <c r="Q197" s="168">
        <f t="shared" si="167"/>
        <v>65.310599999999994</v>
      </c>
      <c r="R197" s="169">
        <f t="shared" si="168"/>
        <v>1662.4749199999999</v>
      </c>
      <c r="S197" s="169">
        <f t="shared" si="169"/>
        <v>1727.78</v>
      </c>
      <c r="T197" s="161">
        <f t="shared" si="173"/>
        <v>6.8227345037974246E-4</v>
      </c>
    </row>
    <row r="198" spans="2:20" ht="25.5" x14ac:dyDescent="0.25">
      <c r="B198" s="205" t="s">
        <v>1483</v>
      </c>
      <c r="C198" s="160" t="s">
        <v>781</v>
      </c>
      <c r="D198" s="160" t="s">
        <v>31</v>
      </c>
      <c r="E198" s="209" t="s">
        <v>782</v>
      </c>
      <c r="F198" s="203" t="s">
        <v>22</v>
      </c>
      <c r="G198" s="204">
        <v>15</v>
      </c>
      <c r="H198" s="205">
        <v>183.89</v>
      </c>
      <c r="I198" s="203">
        <v>716.38</v>
      </c>
      <c r="J198" s="167">
        <f t="shared" si="147"/>
        <v>900.27</v>
      </c>
      <c r="K198" s="168">
        <f t="shared" si="171"/>
        <v>2758.35</v>
      </c>
      <c r="L198" s="169">
        <f t="shared" si="165"/>
        <v>10745.7</v>
      </c>
      <c r="M198" s="170">
        <f t="shared" si="166"/>
        <v>13504.05</v>
      </c>
      <c r="N198" s="165">
        <f t="shared" si="172"/>
        <v>235.48953399999996</v>
      </c>
      <c r="O198" s="166">
        <f t="shared" si="172"/>
        <v>917.39622799999995</v>
      </c>
      <c r="P198" s="167">
        <f t="shared" si="164"/>
        <v>1152.8800000000001</v>
      </c>
      <c r="Q198" s="168">
        <f t="shared" si="167"/>
        <v>3532.3430099999996</v>
      </c>
      <c r="R198" s="169">
        <f t="shared" si="168"/>
        <v>13760.94342</v>
      </c>
      <c r="S198" s="169">
        <f t="shared" si="169"/>
        <v>17293.28</v>
      </c>
      <c r="T198" s="161">
        <f t="shared" si="173"/>
        <v>6.8288473150418414E-3</v>
      </c>
    </row>
    <row r="199" spans="2:20" x14ac:dyDescent="0.25">
      <c r="B199" s="205" t="s">
        <v>1484</v>
      </c>
      <c r="C199" s="160" t="s">
        <v>783</v>
      </c>
      <c r="D199" s="160" t="s">
        <v>214</v>
      </c>
      <c r="E199" s="209" t="s">
        <v>784</v>
      </c>
      <c r="F199" s="203" t="s">
        <v>22</v>
      </c>
      <c r="G199" s="204">
        <v>5</v>
      </c>
      <c r="H199" s="205">
        <v>2.5499999999999998</v>
      </c>
      <c r="I199" s="203">
        <v>96.64</v>
      </c>
      <c r="J199" s="167">
        <f t="shared" si="147"/>
        <v>99.19</v>
      </c>
      <c r="K199" s="168">
        <f t="shared" si="171"/>
        <v>12.75</v>
      </c>
      <c r="L199" s="169">
        <f t="shared" si="165"/>
        <v>483.2</v>
      </c>
      <c r="M199" s="170">
        <f t="shared" si="166"/>
        <v>495.95</v>
      </c>
      <c r="N199" s="165">
        <f t="shared" si="172"/>
        <v>3.2655299999999996</v>
      </c>
      <c r="O199" s="166">
        <f t="shared" si="172"/>
        <v>123.757184</v>
      </c>
      <c r="P199" s="167">
        <f t="shared" si="164"/>
        <v>127.02</v>
      </c>
      <c r="Q199" s="168">
        <f t="shared" si="167"/>
        <v>16.327649999999998</v>
      </c>
      <c r="R199" s="169">
        <f t="shared" si="168"/>
        <v>618.78592000000003</v>
      </c>
      <c r="S199" s="169">
        <f t="shared" si="169"/>
        <v>635.11</v>
      </c>
      <c r="T199" s="161">
        <f t="shared" si="173"/>
        <v>2.5079506133343264E-4</v>
      </c>
    </row>
    <row r="200" spans="2:20" x14ac:dyDescent="0.25">
      <c r="B200" s="205" t="s">
        <v>1363</v>
      </c>
      <c r="C200" s="160">
        <v>59252</v>
      </c>
      <c r="D200" s="171" t="s">
        <v>214</v>
      </c>
      <c r="E200" s="163" t="s">
        <v>1358</v>
      </c>
      <c r="F200" s="160" t="s">
        <v>22</v>
      </c>
      <c r="G200" s="164">
        <v>15</v>
      </c>
      <c r="H200" s="427">
        <v>61.15</v>
      </c>
      <c r="I200" s="428">
        <v>1073.4000000000001</v>
      </c>
      <c r="J200" s="167">
        <f t="shared" si="147"/>
        <v>1134.55</v>
      </c>
      <c r="K200" s="168">
        <f t="shared" si="171"/>
        <v>917.25</v>
      </c>
      <c r="L200" s="169">
        <f t="shared" si="165"/>
        <v>16101.000000000002</v>
      </c>
      <c r="M200" s="170">
        <f t="shared" si="166"/>
        <v>17018.25</v>
      </c>
      <c r="N200" s="165">
        <f t="shared" si="172"/>
        <v>78.308689999999999</v>
      </c>
      <c r="O200" s="166">
        <f t="shared" si="172"/>
        <v>1374.5960400000001</v>
      </c>
      <c r="P200" s="167">
        <f t="shared" si="164"/>
        <v>1452.9</v>
      </c>
      <c r="Q200" s="168">
        <f t="shared" si="167"/>
        <v>1174.6303499999999</v>
      </c>
      <c r="R200" s="169">
        <f t="shared" si="168"/>
        <v>20618.940600000002</v>
      </c>
      <c r="S200" s="169">
        <f t="shared" si="169"/>
        <v>21793.57</v>
      </c>
      <c r="T200" s="161">
        <f t="shared" si="173"/>
        <v>8.6059418444434151E-3</v>
      </c>
    </row>
    <row r="201" spans="2:20" x14ac:dyDescent="0.25">
      <c r="B201" s="205" t="s">
        <v>1485</v>
      </c>
      <c r="C201" s="160" t="s">
        <v>1041</v>
      </c>
      <c r="D201" s="160" t="s">
        <v>125</v>
      </c>
      <c r="E201" s="209" t="s">
        <v>1042</v>
      </c>
      <c r="F201" s="203" t="s">
        <v>22</v>
      </c>
      <c r="G201" s="204">
        <v>5</v>
      </c>
      <c r="H201" s="205">
        <v>2.95</v>
      </c>
      <c r="I201" s="203">
        <v>111.38</v>
      </c>
      <c r="J201" s="167">
        <f t="shared" si="147"/>
        <v>114.33</v>
      </c>
      <c r="K201" s="168">
        <f t="shared" si="171"/>
        <v>14.75</v>
      </c>
      <c r="L201" s="169">
        <f t="shared" si="165"/>
        <v>556.9</v>
      </c>
      <c r="M201" s="170">
        <f t="shared" si="166"/>
        <v>571.65</v>
      </c>
      <c r="N201" s="165">
        <f t="shared" si="172"/>
        <v>3.7777700000000003</v>
      </c>
      <c r="O201" s="166">
        <f t="shared" si="172"/>
        <v>142.633228</v>
      </c>
      <c r="P201" s="167">
        <f t="shared" si="164"/>
        <v>146.41</v>
      </c>
      <c r="Q201" s="168">
        <f t="shared" si="167"/>
        <v>18.888850000000001</v>
      </c>
      <c r="R201" s="169">
        <f t="shared" si="168"/>
        <v>713.16614000000004</v>
      </c>
      <c r="S201" s="169">
        <f t="shared" si="169"/>
        <v>732.05</v>
      </c>
      <c r="T201" s="161">
        <f t="shared" si="173"/>
        <v>2.8907515965602708E-4</v>
      </c>
    </row>
    <row r="202" spans="2:20" ht="25.5" x14ac:dyDescent="0.25">
      <c r="B202" s="205" t="s">
        <v>1486</v>
      </c>
      <c r="C202" s="160" t="s">
        <v>1043</v>
      </c>
      <c r="D202" s="160" t="s">
        <v>905</v>
      </c>
      <c r="E202" s="209" t="s">
        <v>1044</v>
      </c>
      <c r="F202" s="203" t="s">
        <v>847</v>
      </c>
      <c r="G202" s="204">
        <v>480</v>
      </c>
      <c r="H202" s="205">
        <v>4</v>
      </c>
      <c r="I202" s="203">
        <v>22.12</v>
      </c>
      <c r="J202" s="167">
        <f t="shared" si="147"/>
        <v>26.12</v>
      </c>
      <c r="K202" s="168">
        <f t="shared" si="171"/>
        <v>1920</v>
      </c>
      <c r="L202" s="169">
        <f t="shared" si="165"/>
        <v>10617.6</v>
      </c>
      <c r="M202" s="170">
        <f t="shared" si="166"/>
        <v>12537.6</v>
      </c>
      <c r="N202" s="165">
        <f t="shared" si="172"/>
        <v>5.1223999999999998</v>
      </c>
      <c r="O202" s="166">
        <f t="shared" si="172"/>
        <v>28.326872000000002</v>
      </c>
      <c r="P202" s="167">
        <f t="shared" si="164"/>
        <v>33.44</v>
      </c>
      <c r="Q202" s="168">
        <f t="shared" si="167"/>
        <v>2458.752</v>
      </c>
      <c r="R202" s="169">
        <f t="shared" si="168"/>
        <v>13596.898560000001</v>
      </c>
      <c r="S202" s="169">
        <f t="shared" si="169"/>
        <v>16055.65</v>
      </c>
      <c r="T202" s="161">
        <f t="shared" si="173"/>
        <v>6.3401264765129313E-3</v>
      </c>
    </row>
    <row r="203" spans="2:20" x14ac:dyDescent="0.25">
      <c r="B203" s="205" t="s">
        <v>1487</v>
      </c>
      <c r="C203" s="160" t="s">
        <v>1045</v>
      </c>
      <c r="D203" s="160" t="s">
        <v>267</v>
      </c>
      <c r="E203" s="209" t="s">
        <v>1046</v>
      </c>
      <c r="F203" s="203" t="s">
        <v>22</v>
      </c>
      <c r="G203" s="204">
        <v>240</v>
      </c>
      <c r="H203" s="205">
        <v>6.29</v>
      </c>
      <c r="I203" s="203">
        <v>36.89</v>
      </c>
      <c r="J203" s="167">
        <f t="shared" si="147"/>
        <v>43.18</v>
      </c>
      <c r="K203" s="168">
        <f t="shared" si="171"/>
        <v>1509.6</v>
      </c>
      <c r="L203" s="169">
        <f t="shared" si="165"/>
        <v>8853.6</v>
      </c>
      <c r="M203" s="170">
        <f t="shared" si="166"/>
        <v>10363.200000000001</v>
      </c>
      <c r="N203" s="165">
        <f t="shared" si="172"/>
        <v>8.0549739999999996</v>
      </c>
      <c r="O203" s="166">
        <f t="shared" si="172"/>
        <v>47.241334000000002</v>
      </c>
      <c r="P203" s="167">
        <f t="shared" si="164"/>
        <v>55.29</v>
      </c>
      <c r="Q203" s="168">
        <f t="shared" si="167"/>
        <v>1933.1937599999999</v>
      </c>
      <c r="R203" s="169">
        <f t="shared" si="168"/>
        <v>11337.92016</v>
      </c>
      <c r="S203" s="169">
        <f t="shared" si="169"/>
        <v>13271.11</v>
      </c>
      <c r="T203" s="161">
        <f t="shared" si="173"/>
        <v>5.240554937589916E-3</v>
      </c>
    </row>
    <row r="204" spans="2:20" ht="38.25" x14ac:dyDescent="0.25">
      <c r="B204" s="205" t="s">
        <v>1253</v>
      </c>
      <c r="C204" s="160" t="s">
        <v>1282</v>
      </c>
      <c r="D204" s="160" t="s">
        <v>125</v>
      </c>
      <c r="E204" s="209" t="s">
        <v>1283</v>
      </c>
      <c r="F204" s="203" t="s">
        <v>22</v>
      </c>
      <c r="G204" s="204">
        <v>5</v>
      </c>
      <c r="H204" s="205">
        <v>16.88</v>
      </c>
      <c r="I204" s="203">
        <v>997.22</v>
      </c>
      <c r="J204" s="167">
        <f t="shared" si="147"/>
        <v>1014.1</v>
      </c>
      <c r="K204" s="168">
        <f t="shared" si="171"/>
        <v>84.399999999999991</v>
      </c>
      <c r="L204" s="169">
        <f t="shared" si="165"/>
        <v>4986.1000000000004</v>
      </c>
      <c r="M204" s="170">
        <f t="shared" si="166"/>
        <v>5070.5</v>
      </c>
      <c r="N204" s="165">
        <f t="shared" si="172"/>
        <v>21.616527999999999</v>
      </c>
      <c r="O204" s="166">
        <f t="shared" si="172"/>
        <v>1277.0399319999999</v>
      </c>
      <c r="P204" s="167">
        <f t="shared" si="164"/>
        <v>1298.6500000000001</v>
      </c>
      <c r="Q204" s="168">
        <f t="shared" si="167"/>
        <v>108.08264</v>
      </c>
      <c r="R204" s="169">
        <f t="shared" si="168"/>
        <v>6385.1996599999993</v>
      </c>
      <c r="S204" s="169">
        <f t="shared" si="169"/>
        <v>6493.28</v>
      </c>
      <c r="T204" s="161">
        <f t="shared" si="173"/>
        <v>2.5640952840533947E-3</v>
      </c>
    </row>
    <row r="205" spans="2:20" x14ac:dyDescent="0.25">
      <c r="B205" s="359" t="s">
        <v>1490</v>
      </c>
      <c r="C205" s="357"/>
      <c r="D205" s="358"/>
      <c r="E205" s="341" t="s">
        <v>28</v>
      </c>
      <c r="F205" s="340"/>
      <c r="G205" s="356"/>
      <c r="H205" s="347"/>
      <c r="I205" s="348"/>
      <c r="J205" s="349">
        <f t="shared" si="147"/>
        <v>0</v>
      </c>
      <c r="K205" s="393">
        <f>SUM(K206)</f>
        <v>15750</v>
      </c>
      <c r="L205" s="393">
        <f t="shared" ref="L205:M205" si="174">SUM(L206)</f>
        <v>0</v>
      </c>
      <c r="M205" s="393">
        <f t="shared" si="174"/>
        <v>15750</v>
      </c>
      <c r="N205" s="394">
        <f t="shared" si="172"/>
        <v>0</v>
      </c>
      <c r="O205" s="348">
        <f t="shared" si="172"/>
        <v>0</v>
      </c>
      <c r="P205" s="349">
        <f t="shared" si="164"/>
        <v>0</v>
      </c>
      <c r="Q205" s="393">
        <f>SUM(Q206)</f>
        <v>20169.449999999997</v>
      </c>
      <c r="R205" s="393">
        <f t="shared" ref="R205:S205" si="175">SUM(R206)</f>
        <v>0</v>
      </c>
      <c r="S205" s="393">
        <f t="shared" si="175"/>
        <v>20169.45</v>
      </c>
      <c r="T205" s="346">
        <f>+S205/$S$212</f>
        <v>7.9646021158722158E-3</v>
      </c>
    </row>
    <row r="206" spans="2:20" x14ac:dyDescent="0.25">
      <c r="B206" s="205" t="s">
        <v>1052</v>
      </c>
      <c r="C206" s="160" t="s">
        <v>785</v>
      </c>
      <c r="D206" s="160" t="s">
        <v>214</v>
      </c>
      <c r="E206" s="209" t="s">
        <v>786</v>
      </c>
      <c r="F206" s="203" t="s">
        <v>787</v>
      </c>
      <c r="G206" s="204">
        <v>750</v>
      </c>
      <c r="H206" s="205">
        <v>21</v>
      </c>
      <c r="I206" s="360">
        <v>0</v>
      </c>
      <c r="J206" s="167">
        <f t="shared" si="147"/>
        <v>21</v>
      </c>
      <c r="K206" s="168">
        <f t="shared" si="171"/>
        <v>15750</v>
      </c>
      <c r="L206" s="169">
        <f t="shared" si="165"/>
        <v>0</v>
      </c>
      <c r="M206" s="170">
        <f t="shared" si="166"/>
        <v>15750</v>
      </c>
      <c r="N206" s="165">
        <f t="shared" si="172"/>
        <v>26.892599999999998</v>
      </c>
      <c r="O206" s="166">
        <f t="shared" si="172"/>
        <v>0</v>
      </c>
      <c r="P206" s="167">
        <f t="shared" si="164"/>
        <v>26.89</v>
      </c>
      <c r="Q206" s="168">
        <f t="shared" si="167"/>
        <v>20169.449999999997</v>
      </c>
      <c r="R206" s="169">
        <f t="shared" si="168"/>
        <v>0</v>
      </c>
      <c r="S206" s="169">
        <f t="shared" si="169"/>
        <v>20169.45</v>
      </c>
      <c r="T206" s="161">
        <f>+S206/$S$212</f>
        <v>7.9646021158722158E-3</v>
      </c>
    </row>
    <row r="207" spans="2:20" x14ac:dyDescent="0.25">
      <c r="B207" s="205"/>
      <c r="C207" s="160"/>
      <c r="D207" s="160"/>
      <c r="E207" s="209"/>
      <c r="F207" s="203"/>
      <c r="G207" s="204"/>
      <c r="H207" s="205"/>
      <c r="I207" s="203"/>
      <c r="J207" s="167">
        <f t="shared" si="147"/>
        <v>0</v>
      </c>
      <c r="K207" s="168">
        <f t="shared" si="171"/>
        <v>0</v>
      </c>
      <c r="L207" s="169">
        <f t="shared" si="165"/>
        <v>0</v>
      </c>
      <c r="M207" s="170">
        <f t="shared" si="166"/>
        <v>0</v>
      </c>
      <c r="N207" s="165">
        <f t="shared" si="172"/>
        <v>0</v>
      </c>
      <c r="O207" s="166">
        <f t="shared" si="172"/>
        <v>0</v>
      </c>
      <c r="P207" s="167">
        <f t="shared" si="164"/>
        <v>0</v>
      </c>
      <c r="Q207" s="168">
        <f t="shared" si="167"/>
        <v>0</v>
      </c>
      <c r="R207" s="169">
        <f t="shared" si="168"/>
        <v>0</v>
      </c>
      <c r="S207" s="169">
        <f t="shared" si="169"/>
        <v>0</v>
      </c>
      <c r="T207" s="161"/>
    </row>
    <row r="208" spans="2:20" x14ac:dyDescent="0.25">
      <c r="B208" s="327">
        <v>13</v>
      </c>
      <c r="C208" s="352"/>
      <c r="D208" s="352"/>
      <c r="E208" s="329" t="s">
        <v>1053</v>
      </c>
      <c r="F208" s="337"/>
      <c r="G208" s="353"/>
      <c r="H208" s="336"/>
      <c r="I208" s="337"/>
      <c r="J208" s="338">
        <f t="shared" si="147"/>
        <v>0</v>
      </c>
      <c r="K208" s="391">
        <f>SUM(K209)</f>
        <v>5754.0639999999994</v>
      </c>
      <c r="L208" s="391">
        <f t="shared" ref="L208:M208" si="176">SUM(L209)</f>
        <v>4910.7959999999994</v>
      </c>
      <c r="M208" s="391">
        <f t="shared" si="176"/>
        <v>10664.86</v>
      </c>
      <c r="N208" s="392">
        <f t="shared" si="172"/>
        <v>0</v>
      </c>
      <c r="O208" s="354">
        <f t="shared" si="172"/>
        <v>0</v>
      </c>
      <c r="P208" s="355">
        <f t="shared" si="164"/>
        <v>0</v>
      </c>
      <c r="Q208" s="391">
        <f>SUM(Q209)</f>
        <v>7368.6543583999992</v>
      </c>
      <c r="R208" s="391">
        <f t="shared" ref="R208:S208" si="177">SUM(R209)</f>
        <v>6288.7653575999984</v>
      </c>
      <c r="S208" s="391">
        <f t="shared" si="177"/>
        <v>13657.41</v>
      </c>
      <c r="T208" s="334">
        <f>+S208/$S$212</f>
        <v>5.3930987995872157E-3</v>
      </c>
    </row>
    <row r="209" spans="2:20" x14ac:dyDescent="0.25">
      <c r="B209" s="205" t="s">
        <v>1054</v>
      </c>
      <c r="C209" s="160" t="s">
        <v>1393</v>
      </c>
      <c r="D209" s="160" t="s">
        <v>177</v>
      </c>
      <c r="E209" s="209" t="s">
        <v>1394</v>
      </c>
      <c r="F209" s="203" t="s">
        <v>2</v>
      </c>
      <c r="G209" s="204">
        <v>4960.3999999999996</v>
      </c>
      <c r="H209" s="205">
        <v>1.1599999999999999</v>
      </c>
      <c r="I209" s="203">
        <v>0.99</v>
      </c>
      <c r="J209" s="167">
        <f t="shared" si="147"/>
        <v>2.15</v>
      </c>
      <c r="K209" s="168">
        <f t="shared" si="171"/>
        <v>5754.0639999999994</v>
      </c>
      <c r="L209" s="169">
        <f t="shared" si="165"/>
        <v>4910.7959999999994</v>
      </c>
      <c r="M209" s="170">
        <f t="shared" si="166"/>
        <v>10664.86</v>
      </c>
      <c r="N209" s="165">
        <f t="shared" si="172"/>
        <v>1.4854959999999999</v>
      </c>
      <c r="O209" s="166">
        <f t="shared" si="172"/>
        <v>1.2677939999999999</v>
      </c>
      <c r="P209" s="167">
        <f t="shared" si="164"/>
        <v>2.75</v>
      </c>
      <c r="Q209" s="168">
        <f t="shared" si="167"/>
        <v>7368.6543583999992</v>
      </c>
      <c r="R209" s="169">
        <f t="shared" si="168"/>
        <v>6288.7653575999984</v>
      </c>
      <c r="S209" s="169">
        <f t="shared" si="169"/>
        <v>13657.41</v>
      </c>
      <c r="T209" s="161">
        <f>+S209/$S$212</f>
        <v>5.3930987995872157E-3</v>
      </c>
    </row>
    <row r="210" spans="2:20" ht="13.5" thickBot="1" x14ac:dyDescent="0.3">
      <c r="B210" s="215"/>
      <c r="C210" s="216"/>
      <c r="D210" s="216"/>
      <c r="E210" s="217"/>
      <c r="F210" s="216"/>
      <c r="G210" s="218"/>
      <c r="M210" s="202"/>
    </row>
    <row r="211" spans="2:20" x14ac:dyDescent="0.25">
      <c r="B211" s="219"/>
      <c r="C211" s="192"/>
      <c r="D211" s="192"/>
      <c r="E211" s="219"/>
      <c r="F211" s="219"/>
      <c r="G211" s="220"/>
      <c r="H211" s="221"/>
      <c r="I211" s="222"/>
      <c r="J211" s="223"/>
      <c r="K211" s="224"/>
      <c r="L211" s="225"/>
      <c r="M211" s="226"/>
      <c r="N211" s="221"/>
      <c r="O211" s="222"/>
      <c r="P211" s="223"/>
      <c r="Q211" s="224"/>
      <c r="R211" s="225"/>
      <c r="S211" s="226"/>
    </row>
    <row r="212" spans="2:20" x14ac:dyDescent="0.25">
      <c r="B212" s="228"/>
      <c r="C212" s="228"/>
      <c r="D212" s="228"/>
      <c r="E212" s="228"/>
      <c r="F212" s="228"/>
      <c r="G212" s="228"/>
      <c r="H212" s="229"/>
      <c r="I212" s="230"/>
      <c r="J212" s="231" t="s">
        <v>144</v>
      </c>
      <c r="K212" s="232">
        <f>K208+K130+K122+K110+K105+K88+K76+K69+K52+K44+K29+K21+K16</f>
        <v>622133.68599999999</v>
      </c>
      <c r="L212" s="232">
        <f>L208+L130+L122+L110+L105+L88+L76+L69+L52+L44+L29+L21+L16</f>
        <v>1355366.8202499999</v>
      </c>
      <c r="M212" s="232">
        <f>M208+M130+M122+M110+M105+M88+M76+M69+M52+M44+M29+M21+M16</f>
        <v>1977500.4400000002</v>
      </c>
      <c r="N212" s="229"/>
      <c r="O212" s="230"/>
      <c r="P212" s="231" t="s">
        <v>145</v>
      </c>
      <c r="Q212" s="232">
        <f>Q208+Q130+Q122+Q110+Q105+Q88+Q76+Q69+Q52+Q44+Q29+Q21+Q16</f>
        <v>796704.39829160005</v>
      </c>
      <c r="R212" s="232">
        <f>R208+R130+R122+R110+R105+R88+R76+R69+R52+R44+R29+R21+R16</f>
        <v>1735682.75001215</v>
      </c>
      <c r="S212" s="232">
        <f>S208+S130+S122+S110+S105+S88+S76+S69+S52+S44+S29+S21+S16</f>
        <v>2532386.3899999997</v>
      </c>
      <c r="T212" s="233"/>
    </row>
    <row r="213" spans="2:20" ht="13.5" thickBot="1" x14ac:dyDescent="0.3">
      <c r="B213" s="234"/>
      <c r="C213" s="192"/>
      <c r="D213" s="192"/>
      <c r="E213" s="235"/>
      <c r="F213" s="234"/>
      <c r="G213" s="236"/>
      <c r="H213" s="237"/>
      <c r="I213" s="238"/>
      <c r="J213" s="239"/>
      <c r="K213" s="240"/>
      <c r="L213" s="241"/>
      <c r="M213" s="242"/>
      <c r="N213" s="237"/>
      <c r="O213" s="238"/>
      <c r="P213" s="239"/>
      <c r="Q213" s="240"/>
      <c r="R213" s="241"/>
      <c r="S213" s="242"/>
    </row>
    <row r="215" spans="2:20" ht="13.5" thickBot="1" x14ac:dyDescent="0.3"/>
    <row r="216" spans="2:20" x14ac:dyDescent="0.25">
      <c r="H216" s="669" t="s">
        <v>311</v>
      </c>
      <c r="I216" s="670"/>
      <c r="J216" s="670"/>
      <c r="K216" s="670"/>
      <c r="L216" s="670"/>
      <c r="M216" s="670"/>
      <c r="N216" s="675" t="s">
        <v>312</v>
      </c>
      <c r="O216" s="675"/>
      <c r="P216" s="675"/>
      <c r="Q216" s="298">
        <f>+'ORÇ. SINTÉTICO ONERADO'!Q213</f>
        <v>753960.11780560005</v>
      </c>
      <c r="R216" s="298">
        <f>+'ORÇ. SINTÉTICO ONERADO'!R213</f>
        <v>1643564.0601049</v>
      </c>
      <c r="S216" s="299">
        <f>+'ORÇ. SINTÉTICO ONERADO'!S213</f>
        <v>2397523.4099999997</v>
      </c>
    </row>
    <row r="217" spans="2:20" x14ac:dyDescent="0.25">
      <c r="H217" s="671"/>
      <c r="I217" s="672"/>
      <c r="J217" s="672"/>
      <c r="K217" s="672"/>
      <c r="L217" s="672"/>
      <c r="M217" s="672"/>
      <c r="P217" s="300" t="s">
        <v>313</v>
      </c>
      <c r="Q217" s="301">
        <f>+(Q216/Q212)-1</f>
        <v>-5.3651367530614835E-2</v>
      </c>
      <c r="R217" s="301">
        <f t="shared" ref="R217:S217" si="178">+(R216/R212)-1</f>
        <v>-5.3073460519559301E-2</v>
      </c>
      <c r="S217" s="301">
        <f t="shared" si="178"/>
        <v>-5.32552933203847E-2</v>
      </c>
    </row>
    <row r="218" spans="2:20" x14ac:dyDescent="0.25">
      <c r="H218" s="671"/>
      <c r="I218" s="672"/>
      <c r="J218" s="672"/>
      <c r="K218" s="672"/>
      <c r="L218" s="672"/>
      <c r="M218" s="672"/>
      <c r="S218" s="302"/>
    </row>
    <row r="219" spans="2:20" ht="13.5" thickBot="1" x14ac:dyDescent="0.3">
      <c r="H219" s="673"/>
      <c r="I219" s="674"/>
      <c r="J219" s="674"/>
      <c r="K219" s="674"/>
      <c r="L219" s="674"/>
      <c r="M219" s="674"/>
      <c r="N219" s="674" t="s">
        <v>314</v>
      </c>
      <c r="O219" s="674"/>
      <c r="P219" s="674"/>
      <c r="Q219" s="238"/>
      <c r="R219" s="238"/>
      <c r="S219" s="303" t="str">
        <f>+IF(S216&lt;S212,"ONERADO","DESONERADO")</f>
        <v>ONERADO</v>
      </c>
    </row>
  </sheetData>
  <mergeCells count="17">
    <mergeCell ref="H216:M219"/>
    <mergeCell ref="N216:P216"/>
    <mergeCell ref="N219:P219"/>
    <mergeCell ref="G14:G15"/>
    <mergeCell ref="H14:J14"/>
    <mergeCell ref="K14:M14"/>
    <mergeCell ref="N14:P14"/>
    <mergeCell ref="F14:F15"/>
    <mergeCell ref="S14:S15"/>
    <mergeCell ref="T14:T15"/>
    <mergeCell ref="B1:T6"/>
    <mergeCell ref="C11:O11"/>
    <mergeCell ref="Q14:R14"/>
    <mergeCell ref="B14:B15"/>
    <mergeCell ref="C14:C15"/>
    <mergeCell ref="D14:D15"/>
    <mergeCell ref="E14:E15"/>
  </mergeCells>
  <phoneticPr fontId="63" type="noConversion"/>
  <printOptions horizontalCentered="1"/>
  <pageMargins left="0.39370078740157483" right="0.39370078740157483" top="0.39370078740157483" bottom="0.98425196850393704" header="0.31496062992125984" footer="0.31496062992125984"/>
  <pageSetup paperSize="9" scale="52" orientation="landscape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AU74"/>
  <sheetViews>
    <sheetView showGridLines="0" view="pageBreakPreview" topLeftCell="A25" zoomScaleNormal="100" zoomScaleSheetLayoutView="100" workbookViewId="0">
      <selection activeCell="D11" sqref="D11:S11"/>
    </sheetView>
  </sheetViews>
  <sheetFormatPr defaultColWidth="3.5703125" defaultRowHeight="12.75" x14ac:dyDescent="0.25"/>
  <cols>
    <col min="1" max="1" width="1.5703125" style="262" customWidth="1"/>
    <col min="2" max="2" width="5.42578125" style="262" customWidth="1"/>
    <col min="3" max="3" width="2.5703125" style="262" customWidth="1"/>
    <col min="4" max="5" width="5.42578125" style="262" customWidth="1"/>
    <col min="6" max="6" width="10.42578125" style="262" customWidth="1"/>
    <col min="7" max="14" width="6.5703125" style="262" customWidth="1"/>
    <col min="15" max="15" width="4.42578125" style="262" customWidth="1"/>
    <col min="16" max="22" width="5.5703125" style="262" customWidth="1"/>
    <col min="23" max="24" width="4.42578125" style="262" customWidth="1"/>
    <col min="25" max="25" width="8.42578125" style="262" customWidth="1"/>
    <col min="26" max="26" width="1.5703125" style="295" customWidth="1"/>
    <col min="27" max="27" width="3.5703125" style="262" customWidth="1"/>
    <col min="28" max="28" width="19.42578125" style="265" customWidth="1"/>
    <col min="29" max="29" width="8.5703125" style="265" customWidth="1"/>
    <col min="30" max="31" width="9.140625" style="265" customWidth="1"/>
    <col min="32" max="32" width="3.5703125" style="265"/>
    <col min="33" max="33" width="10.85546875" style="265" hidden="1" customWidth="1"/>
    <col min="34" max="34" width="7" style="265" hidden="1" customWidth="1"/>
    <col min="35" max="36" width="3.5703125" style="265"/>
    <col min="37" max="41" width="3.5703125" style="262"/>
    <col min="42" max="42" width="5.5703125" style="262" bestFit="1" customWidth="1"/>
    <col min="43" max="44" width="3.5703125" style="262"/>
    <col min="45" max="45" width="6.5703125" style="262" bestFit="1" customWidth="1"/>
    <col min="46" max="46" width="3.5703125" style="262"/>
    <col min="47" max="47" width="5.5703125" style="262" bestFit="1" customWidth="1"/>
    <col min="48" max="259" width="3.5703125" style="262"/>
    <col min="260" max="260" width="11.42578125" style="262" customWidth="1"/>
    <col min="261" max="261" width="1.85546875" style="262" customWidth="1"/>
    <col min="262" max="265" width="5.42578125" style="262" customWidth="1"/>
    <col min="266" max="266" width="10.42578125" style="262" customWidth="1"/>
    <col min="267" max="267" width="7.85546875" style="262" customWidth="1"/>
    <col min="268" max="268" width="8.85546875" style="262" customWidth="1"/>
    <col min="269" max="269" width="8.42578125" style="262" customWidth="1"/>
    <col min="270" max="270" width="4.42578125" style="262" customWidth="1"/>
    <col min="271" max="272" width="4.140625" style="262" customWidth="1"/>
    <col min="273" max="273" width="6.85546875" style="262" customWidth="1"/>
    <col min="274" max="274" width="4.140625" style="262" customWidth="1"/>
    <col min="275" max="280" width="4.42578125" style="262" customWidth="1"/>
    <col min="281" max="281" width="7" style="262" customWidth="1"/>
    <col min="282" max="282" width="0" style="262" hidden="1" customWidth="1"/>
    <col min="283" max="286" width="3.5703125" style="262" customWidth="1"/>
    <col min="287" max="288" width="3.5703125" style="262"/>
    <col min="289" max="290" width="0" style="262" hidden="1" customWidth="1"/>
    <col min="291" max="297" width="3.5703125" style="262"/>
    <col min="298" max="298" width="5.5703125" style="262" bestFit="1" customWidth="1"/>
    <col min="299" max="300" width="3.5703125" style="262"/>
    <col min="301" max="301" width="6.5703125" style="262" bestFit="1" customWidth="1"/>
    <col min="302" max="302" width="3.5703125" style="262"/>
    <col min="303" max="303" width="5.5703125" style="262" bestFit="1" customWidth="1"/>
    <col min="304" max="515" width="3.5703125" style="262"/>
    <col min="516" max="516" width="11.42578125" style="262" customWidth="1"/>
    <col min="517" max="517" width="1.85546875" style="262" customWidth="1"/>
    <col min="518" max="521" width="5.42578125" style="262" customWidth="1"/>
    <col min="522" max="522" width="10.42578125" style="262" customWidth="1"/>
    <col min="523" max="523" width="7.85546875" style="262" customWidth="1"/>
    <col min="524" max="524" width="8.85546875" style="262" customWidth="1"/>
    <col min="525" max="525" width="8.42578125" style="262" customWidth="1"/>
    <col min="526" max="526" width="4.42578125" style="262" customWidth="1"/>
    <col min="527" max="528" width="4.140625" style="262" customWidth="1"/>
    <col min="529" max="529" width="6.85546875" style="262" customWidth="1"/>
    <col min="530" max="530" width="4.140625" style="262" customWidth="1"/>
    <col min="531" max="536" width="4.42578125" style="262" customWidth="1"/>
    <col min="537" max="537" width="7" style="262" customWidth="1"/>
    <col min="538" max="538" width="0" style="262" hidden="1" customWidth="1"/>
    <col min="539" max="542" width="3.5703125" style="262" customWidth="1"/>
    <col min="543" max="544" width="3.5703125" style="262"/>
    <col min="545" max="546" width="0" style="262" hidden="1" customWidth="1"/>
    <col min="547" max="553" width="3.5703125" style="262"/>
    <col min="554" max="554" width="5.5703125" style="262" bestFit="1" customWidth="1"/>
    <col min="555" max="556" width="3.5703125" style="262"/>
    <col min="557" max="557" width="6.5703125" style="262" bestFit="1" customWidth="1"/>
    <col min="558" max="558" width="3.5703125" style="262"/>
    <col min="559" max="559" width="5.5703125" style="262" bestFit="1" customWidth="1"/>
    <col min="560" max="771" width="3.5703125" style="262"/>
    <col min="772" max="772" width="11.42578125" style="262" customWidth="1"/>
    <col min="773" max="773" width="1.85546875" style="262" customWidth="1"/>
    <col min="774" max="777" width="5.42578125" style="262" customWidth="1"/>
    <col min="778" max="778" width="10.42578125" style="262" customWidth="1"/>
    <col min="779" max="779" width="7.85546875" style="262" customWidth="1"/>
    <col min="780" max="780" width="8.85546875" style="262" customWidth="1"/>
    <col min="781" max="781" width="8.42578125" style="262" customWidth="1"/>
    <col min="782" max="782" width="4.42578125" style="262" customWidth="1"/>
    <col min="783" max="784" width="4.140625" style="262" customWidth="1"/>
    <col min="785" max="785" width="6.85546875" style="262" customWidth="1"/>
    <col min="786" max="786" width="4.140625" style="262" customWidth="1"/>
    <col min="787" max="792" width="4.42578125" style="262" customWidth="1"/>
    <col min="793" max="793" width="7" style="262" customWidth="1"/>
    <col min="794" max="794" width="0" style="262" hidden="1" customWidth="1"/>
    <col min="795" max="798" width="3.5703125" style="262" customWidth="1"/>
    <col min="799" max="800" width="3.5703125" style="262"/>
    <col min="801" max="802" width="0" style="262" hidden="1" customWidth="1"/>
    <col min="803" max="809" width="3.5703125" style="262"/>
    <col min="810" max="810" width="5.5703125" style="262" bestFit="1" customWidth="1"/>
    <col min="811" max="812" width="3.5703125" style="262"/>
    <col min="813" max="813" width="6.5703125" style="262" bestFit="1" customWidth="1"/>
    <col min="814" max="814" width="3.5703125" style="262"/>
    <col min="815" max="815" width="5.5703125" style="262" bestFit="1" customWidth="1"/>
    <col min="816" max="1027" width="3.5703125" style="262"/>
    <col min="1028" max="1028" width="11.42578125" style="262" customWidth="1"/>
    <col min="1029" max="1029" width="1.85546875" style="262" customWidth="1"/>
    <col min="1030" max="1033" width="5.42578125" style="262" customWidth="1"/>
    <col min="1034" max="1034" width="10.42578125" style="262" customWidth="1"/>
    <col min="1035" max="1035" width="7.85546875" style="262" customWidth="1"/>
    <col min="1036" max="1036" width="8.85546875" style="262" customWidth="1"/>
    <col min="1037" max="1037" width="8.42578125" style="262" customWidth="1"/>
    <col min="1038" max="1038" width="4.42578125" style="262" customWidth="1"/>
    <col min="1039" max="1040" width="4.140625" style="262" customWidth="1"/>
    <col min="1041" max="1041" width="6.85546875" style="262" customWidth="1"/>
    <col min="1042" max="1042" width="4.140625" style="262" customWidth="1"/>
    <col min="1043" max="1048" width="4.42578125" style="262" customWidth="1"/>
    <col min="1049" max="1049" width="7" style="262" customWidth="1"/>
    <col min="1050" max="1050" width="0" style="262" hidden="1" customWidth="1"/>
    <col min="1051" max="1054" width="3.5703125" style="262" customWidth="1"/>
    <col min="1055" max="1056" width="3.5703125" style="262"/>
    <col min="1057" max="1058" width="0" style="262" hidden="1" customWidth="1"/>
    <col min="1059" max="1065" width="3.5703125" style="262"/>
    <col min="1066" max="1066" width="5.5703125" style="262" bestFit="1" customWidth="1"/>
    <col min="1067" max="1068" width="3.5703125" style="262"/>
    <col min="1069" max="1069" width="6.5703125" style="262" bestFit="1" customWidth="1"/>
    <col min="1070" max="1070" width="3.5703125" style="262"/>
    <col min="1071" max="1071" width="5.5703125" style="262" bestFit="1" customWidth="1"/>
    <col min="1072" max="1283" width="3.5703125" style="262"/>
    <col min="1284" max="1284" width="11.42578125" style="262" customWidth="1"/>
    <col min="1285" max="1285" width="1.85546875" style="262" customWidth="1"/>
    <col min="1286" max="1289" width="5.42578125" style="262" customWidth="1"/>
    <col min="1290" max="1290" width="10.42578125" style="262" customWidth="1"/>
    <col min="1291" max="1291" width="7.85546875" style="262" customWidth="1"/>
    <col min="1292" max="1292" width="8.85546875" style="262" customWidth="1"/>
    <col min="1293" max="1293" width="8.42578125" style="262" customWidth="1"/>
    <col min="1294" max="1294" width="4.42578125" style="262" customWidth="1"/>
    <col min="1295" max="1296" width="4.140625" style="262" customWidth="1"/>
    <col min="1297" max="1297" width="6.85546875" style="262" customWidth="1"/>
    <col min="1298" max="1298" width="4.140625" style="262" customWidth="1"/>
    <col min="1299" max="1304" width="4.42578125" style="262" customWidth="1"/>
    <col min="1305" max="1305" width="7" style="262" customWidth="1"/>
    <col min="1306" max="1306" width="0" style="262" hidden="1" customWidth="1"/>
    <col min="1307" max="1310" width="3.5703125" style="262" customWidth="1"/>
    <col min="1311" max="1312" width="3.5703125" style="262"/>
    <col min="1313" max="1314" width="0" style="262" hidden="1" customWidth="1"/>
    <col min="1315" max="1321" width="3.5703125" style="262"/>
    <col min="1322" max="1322" width="5.5703125" style="262" bestFit="1" customWidth="1"/>
    <col min="1323" max="1324" width="3.5703125" style="262"/>
    <col min="1325" max="1325" width="6.5703125" style="262" bestFit="1" customWidth="1"/>
    <col min="1326" max="1326" width="3.5703125" style="262"/>
    <col min="1327" max="1327" width="5.5703125" style="262" bestFit="1" customWidth="1"/>
    <col min="1328" max="1539" width="3.5703125" style="262"/>
    <col min="1540" max="1540" width="11.42578125" style="262" customWidth="1"/>
    <col min="1541" max="1541" width="1.85546875" style="262" customWidth="1"/>
    <col min="1542" max="1545" width="5.42578125" style="262" customWidth="1"/>
    <col min="1546" max="1546" width="10.42578125" style="262" customWidth="1"/>
    <col min="1547" max="1547" width="7.85546875" style="262" customWidth="1"/>
    <col min="1548" max="1548" width="8.85546875" style="262" customWidth="1"/>
    <col min="1549" max="1549" width="8.42578125" style="262" customWidth="1"/>
    <col min="1550" max="1550" width="4.42578125" style="262" customWidth="1"/>
    <col min="1551" max="1552" width="4.140625" style="262" customWidth="1"/>
    <col min="1553" max="1553" width="6.85546875" style="262" customWidth="1"/>
    <col min="1554" max="1554" width="4.140625" style="262" customWidth="1"/>
    <col min="1555" max="1560" width="4.42578125" style="262" customWidth="1"/>
    <col min="1561" max="1561" width="7" style="262" customWidth="1"/>
    <col min="1562" max="1562" width="0" style="262" hidden="1" customWidth="1"/>
    <col min="1563" max="1566" width="3.5703125" style="262" customWidth="1"/>
    <col min="1567" max="1568" width="3.5703125" style="262"/>
    <col min="1569" max="1570" width="0" style="262" hidden="1" customWidth="1"/>
    <col min="1571" max="1577" width="3.5703125" style="262"/>
    <col min="1578" max="1578" width="5.5703125" style="262" bestFit="1" customWidth="1"/>
    <col min="1579" max="1580" width="3.5703125" style="262"/>
    <col min="1581" max="1581" width="6.5703125" style="262" bestFit="1" customWidth="1"/>
    <col min="1582" max="1582" width="3.5703125" style="262"/>
    <col min="1583" max="1583" width="5.5703125" style="262" bestFit="1" customWidth="1"/>
    <col min="1584" max="1795" width="3.5703125" style="262"/>
    <col min="1796" max="1796" width="11.42578125" style="262" customWidth="1"/>
    <col min="1797" max="1797" width="1.85546875" style="262" customWidth="1"/>
    <col min="1798" max="1801" width="5.42578125" style="262" customWidth="1"/>
    <col min="1802" max="1802" width="10.42578125" style="262" customWidth="1"/>
    <col min="1803" max="1803" width="7.85546875" style="262" customWidth="1"/>
    <col min="1804" max="1804" width="8.85546875" style="262" customWidth="1"/>
    <col min="1805" max="1805" width="8.42578125" style="262" customWidth="1"/>
    <col min="1806" max="1806" width="4.42578125" style="262" customWidth="1"/>
    <col min="1807" max="1808" width="4.140625" style="262" customWidth="1"/>
    <col min="1809" max="1809" width="6.85546875" style="262" customWidth="1"/>
    <col min="1810" max="1810" width="4.140625" style="262" customWidth="1"/>
    <col min="1811" max="1816" width="4.42578125" style="262" customWidth="1"/>
    <col min="1817" max="1817" width="7" style="262" customWidth="1"/>
    <col min="1818" max="1818" width="0" style="262" hidden="1" customWidth="1"/>
    <col min="1819" max="1822" width="3.5703125" style="262" customWidth="1"/>
    <col min="1823" max="1824" width="3.5703125" style="262"/>
    <col min="1825" max="1826" width="0" style="262" hidden="1" customWidth="1"/>
    <col min="1827" max="1833" width="3.5703125" style="262"/>
    <col min="1834" max="1834" width="5.5703125" style="262" bestFit="1" customWidth="1"/>
    <col min="1835" max="1836" width="3.5703125" style="262"/>
    <col min="1837" max="1837" width="6.5703125" style="262" bestFit="1" customWidth="1"/>
    <col min="1838" max="1838" width="3.5703125" style="262"/>
    <col min="1839" max="1839" width="5.5703125" style="262" bestFit="1" customWidth="1"/>
    <col min="1840" max="2051" width="3.5703125" style="262"/>
    <col min="2052" max="2052" width="11.42578125" style="262" customWidth="1"/>
    <col min="2053" max="2053" width="1.85546875" style="262" customWidth="1"/>
    <col min="2054" max="2057" width="5.42578125" style="262" customWidth="1"/>
    <col min="2058" max="2058" width="10.42578125" style="262" customWidth="1"/>
    <col min="2059" max="2059" width="7.85546875" style="262" customWidth="1"/>
    <col min="2060" max="2060" width="8.85546875" style="262" customWidth="1"/>
    <col min="2061" max="2061" width="8.42578125" style="262" customWidth="1"/>
    <col min="2062" max="2062" width="4.42578125" style="262" customWidth="1"/>
    <col min="2063" max="2064" width="4.140625" style="262" customWidth="1"/>
    <col min="2065" max="2065" width="6.85546875" style="262" customWidth="1"/>
    <col min="2066" max="2066" width="4.140625" style="262" customWidth="1"/>
    <col min="2067" max="2072" width="4.42578125" style="262" customWidth="1"/>
    <col min="2073" max="2073" width="7" style="262" customWidth="1"/>
    <col min="2074" max="2074" width="0" style="262" hidden="1" customWidth="1"/>
    <col min="2075" max="2078" width="3.5703125" style="262" customWidth="1"/>
    <col min="2079" max="2080" width="3.5703125" style="262"/>
    <col min="2081" max="2082" width="0" style="262" hidden="1" customWidth="1"/>
    <col min="2083" max="2089" width="3.5703125" style="262"/>
    <col min="2090" max="2090" width="5.5703125" style="262" bestFit="1" customWidth="1"/>
    <col min="2091" max="2092" width="3.5703125" style="262"/>
    <col min="2093" max="2093" width="6.5703125" style="262" bestFit="1" customWidth="1"/>
    <col min="2094" max="2094" width="3.5703125" style="262"/>
    <col min="2095" max="2095" width="5.5703125" style="262" bestFit="1" customWidth="1"/>
    <col min="2096" max="2307" width="3.5703125" style="262"/>
    <col min="2308" max="2308" width="11.42578125" style="262" customWidth="1"/>
    <col min="2309" max="2309" width="1.85546875" style="262" customWidth="1"/>
    <col min="2310" max="2313" width="5.42578125" style="262" customWidth="1"/>
    <col min="2314" max="2314" width="10.42578125" style="262" customWidth="1"/>
    <col min="2315" max="2315" width="7.85546875" style="262" customWidth="1"/>
    <col min="2316" max="2316" width="8.85546875" style="262" customWidth="1"/>
    <col min="2317" max="2317" width="8.42578125" style="262" customWidth="1"/>
    <col min="2318" max="2318" width="4.42578125" style="262" customWidth="1"/>
    <col min="2319" max="2320" width="4.140625" style="262" customWidth="1"/>
    <col min="2321" max="2321" width="6.85546875" style="262" customWidth="1"/>
    <col min="2322" max="2322" width="4.140625" style="262" customWidth="1"/>
    <col min="2323" max="2328" width="4.42578125" style="262" customWidth="1"/>
    <col min="2329" max="2329" width="7" style="262" customWidth="1"/>
    <col min="2330" max="2330" width="0" style="262" hidden="1" customWidth="1"/>
    <col min="2331" max="2334" width="3.5703125" style="262" customWidth="1"/>
    <col min="2335" max="2336" width="3.5703125" style="262"/>
    <col min="2337" max="2338" width="0" style="262" hidden="1" customWidth="1"/>
    <col min="2339" max="2345" width="3.5703125" style="262"/>
    <col min="2346" max="2346" width="5.5703125" style="262" bestFit="1" customWidth="1"/>
    <col min="2347" max="2348" width="3.5703125" style="262"/>
    <col min="2349" max="2349" width="6.5703125" style="262" bestFit="1" customWidth="1"/>
    <col min="2350" max="2350" width="3.5703125" style="262"/>
    <col min="2351" max="2351" width="5.5703125" style="262" bestFit="1" customWidth="1"/>
    <col min="2352" max="2563" width="3.5703125" style="262"/>
    <col min="2564" max="2564" width="11.42578125" style="262" customWidth="1"/>
    <col min="2565" max="2565" width="1.85546875" style="262" customWidth="1"/>
    <col min="2566" max="2569" width="5.42578125" style="262" customWidth="1"/>
    <col min="2570" max="2570" width="10.42578125" style="262" customWidth="1"/>
    <col min="2571" max="2571" width="7.85546875" style="262" customWidth="1"/>
    <col min="2572" max="2572" width="8.85546875" style="262" customWidth="1"/>
    <col min="2573" max="2573" width="8.42578125" style="262" customWidth="1"/>
    <col min="2574" max="2574" width="4.42578125" style="262" customWidth="1"/>
    <col min="2575" max="2576" width="4.140625" style="262" customWidth="1"/>
    <col min="2577" max="2577" width="6.85546875" style="262" customWidth="1"/>
    <col min="2578" max="2578" width="4.140625" style="262" customWidth="1"/>
    <col min="2579" max="2584" width="4.42578125" style="262" customWidth="1"/>
    <col min="2585" max="2585" width="7" style="262" customWidth="1"/>
    <col min="2586" max="2586" width="0" style="262" hidden="1" customWidth="1"/>
    <col min="2587" max="2590" width="3.5703125" style="262" customWidth="1"/>
    <col min="2591" max="2592" width="3.5703125" style="262"/>
    <col min="2593" max="2594" width="0" style="262" hidden="1" customWidth="1"/>
    <col min="2595" max="2601" width="3.5703125" style="262"/>
    <col min="2602" max="2602" width="5.5703125" style="262" bestFit="1" customWidth="1"/>
    <col min="2603" max="2604" width="3.5703125" style="262"/>
    <col min="2605" max="2605" width="6.5703125" style="262" bestFit="1" customWidth="1"/>
    <col min="2606" max="2606" width="3.5703125" style="262"/>
    <col min="2607" max="2607" width="5.5703125" style="262" bestFit="1" customWidth="1"/>
    <col min="2608" max="2819" width="3.5703125" style="262"/>
    <col min="2820" max="2820" width="11.42578125" style="262" customWidth="1"/>
    <col min="2821" max="2821" width="1.85546875" style="262" customWidth="1"/>
    <col min="2822" max="2825" width="5.42578125" style="262" customWidth="1"/>
    <col min="2826" max="2826" width="10.42578125" style="262" customWidth="1"/>
    <col min="2827" max="2827" width="7.85546875" style="262" customWidth="1"/>
    <col min="2828" max="2828" width="8.85546875" style="262" customWidth="1"/>
    <col min="2829" max="2829" width="8.42578125" style="262" customWidth="1"/>
    <col min="2830" max="2830" width="4.42578125" style="262" customWidth="1"/>
    <col min="2831" max="2832" width="4.140625" style="262" customWidth="1"/>
    <col min="2833" max="2833" width="6.85546875" style="262" customWidth="1"/>
    <col min="2834" max="2834" width="4.140625" style="262" customWidth="1"/>
    <col min="2835" max="2840" width="4.42578125" style="262" customWidth="1"/>
    <col min="2841" max="2841" width="7" style="262" customWidth="1"/>
    <col min="2842" max="2842" width="0" style="262" hidden="1" customWidth="1"/>
    <col min="2843" max="2846" width="3.5703125" style="262" customWidth="1"/>
    <col min="2847" max="2848" width="3.5703125" style="262"/>
    <col min="2849" max="2850" width="0" style="262" hidden="1" customWidth="1"/>
    <col min="2851" max="2857" width="3.5703125" style="262"/>
    <col min="2858" max="2858" width="5.5703125" style="262" bestFit="1" customWidth="1"/>
    <col min="2859" max="2860" width="3.5703125" style="262"/>
    <col min="2861" max="2861" width="6.5703125" style="262" bestFit="1" customWidth="1"/>
    <col min="2862" max="2862" width="3.5703125" style="262"/>
    <col min="2863" max="2863" width="5.5703125" style="262" bestFit="1" customWidth="1"/>
    <col min="2864" max="3075" width="3.5703125" style="262"/>
    <col min="3076" max="3076" width="11.42578125" style="262" customWidth="1"/>
    <col min="3077" max="3077" width="1.85546875" style="262" customWidth="1"/>
    <col min="3078" max="3081" width="5.42578125" style="262" customWidth="1"/>
    <col min="3082" max="3082" width="10.42578125" style="262" customWidth="1"/>
    <col min="3083" max="3083" width="7.85546875" style="262" customWidth="1"/>
    <col min="3084" max="3084" width="8.85546875" style="262" customWidth="1"/>
    <col min="3085" max="3085" width="8.42578125" style="262" customWidth="1"/>
    <col min="3086" max="3086" width="4.42578125" style="262" customWidth="1"/>
    <col min="3087" max="3088" width="4.140625" style="262" customWidth="1"/>
    <col min="3089" max="3089" width="6.85546875" style="262" customWidth="1"/>
    <col min="3090" max="3090" width="4.140625" style="262" customWidth="1"/>
    <col min="3091" max="3096" width="4.42578125" style="262" customWidth="1"/>
    <col min="3097" max="3097" width="7" style="262" customWidth="1"/>
    <col min="3098" max="3098" width="0" style="262" hidden="1" customWidth="1"/>
    <col min="3099" max="3102" width="3.5703125" style="262" customWidth="1"/>
    <col min="3103" max="3104" width="3.5703125" style="262"/>
    <col min="3105" max="3106" width="0" style="262" hidden="1" customWidth="1"/>
    <col min="3107" max="3113" width="3.5703125" style="262"/>
    <col min="3114" max="3114" width="5.5703125" style="262" bestFit="1" customWidth="1"/>
    <col min="3115" max="3116" width="3.5703125" style="262"/>
    <col min="3117" max="3117" width="6.5703125" style="262" bestFit="1" customWidth="1"/>
    <col min="3118" max="3118" width="3.5703125" style="262"/>
    <col min="3119" max="3119" width="5.5703125" style="262" bestFit="1" customWidth="1"/>
    <col min="3120" max="3331" width="3.5703125" style="262"/>
    <col min="3332" max="3332" width="11.42578125" style="262" customWidth="1"/>
    <col min="3333" max="3333" width="1.85546875" style="262" customWidth="1"/>
    <col min="3334" max="3337" width="5.42578125" style="262" customWidth="1"/>
    <col min="3338" max="3338" width="10.42578125" style="262" customWidth="1"/>
    <col min="3339" max="3339" width="7.85546875" style="262" customWidth="1"/>
    <col min="3340" max="3340" width="8.85546875" style="262" customWidth="1"/>
    <col min="3341" max="3341" width="8.42578125" style="262" customWidth="1"/>
    <col min="3342" max="3342" width="4.42578125" style="262" customWidth="1"/>
    <col min="3343" max="3344" width="4.140625" style="262" customWidth="1"/>
    <col min="3345" max="3345" width="6.85546875" style="262" customWidth="1"/>
    <col min="3346" max="3346" width="4.140625" style="262" customWidth="1"/>
    <col min="3347" max="3352" width="4.42578125" style="262" customWidth="1"/>
    <col min="3353" max="3353" width="7" style="262" customWidth="1"/>
    <col min="3354" max="3354" width="0" style="262" hidden="1" customWidth="1"/>
    <col min="3355" max="3358" width="3.5703125" style="262" customWidth="1"/>
    <col min="3359" max="3360" width="3.5703125" style="262"/>
    <col min="3361" max="3362" width="0" style="262" hidden="1" customWidth="1"/>
    <col min="3363" max="3369" width="3.5703125" style="262"/>
    <col min="3370" max="3370" width="5.5703125" style="262" bestFit="1" customWidth="1"/>
    <col min="3371" max="3372" width="3.5703125" style="262"/>
    <col min="3373" max="3373" width="6.5703125" style="262" bestFit="1" customWidth="1"/>
    <col min="3374" max="3374" width="3.5703125" style="262"/>
    <col min="3375" max="3375" width="5.5703125" style="262" bestFit="1" customWidth="1"/>
    <col min="3376" max="3587" width="3.5703125" style="262"/>
    <col min="3588" max="3588" width="11.42578125" style="262" customWidth="1"/>
    <col min="3589" max="3589" width="1.85546875" style="262" customWidth="1"/>
    <col min="3590" max="3593" width="5.42578125" style="262" customWidth="1"/>
    <col min="3594" max="3594" width="10.42578125" style="262" customWidth="1"/>
    <col min="3595" max="3595" width="7.85546875" style="262" customWidth="1"/>
    <col min="3596" max="3596" width="8.85546875" style="262" customWidth="1"/>
    <col min="3597" max="3597" width="8.42578125" style="262" customWidth="1"/>
    <col min="3598" max="3598" width="4.42578125" style="262" customWidth="1"/>
    <col min="3599" max="3600" width="4.140625" style="262" customWidth="1"/>
    <col min="3601" max="3601" width="6.85546875" style="262" customWidth="1"/>
    <col min="3602" max="3602" width="4.140625" style="262" customWidth="1"/>
    <col min="3603" max="3608" width="4.42578125" style="262" customWidth="1"/>
    <col min="3609" max="3609" width="7" style="262" customWidth="1"/>
    <col min="3610" max="3610" width="0" style="262" hidden="1" customWidth="1"/>
    <col min="3611" max="3614" width="3.5703125" style="262" customWidth="1"/>
    <col min="3615" max="3616" width="3.5703125" style="262"/>
    <col min="3617" max="3618" width="0" style="262" hidden="1" customWidth="1"/>
    <col min="3619" max="3625" width="3.5703125" style="262"/>
    <col min="3626" max="3626" width="5.5703125" style="262" bestFit="1" customWidth="1"/>
    <col min="3627" max="3628" width="3.5703125" style="262"/>
    <col min="3629" max="3629" width="6.5703125" style="262" bestFit="1" customWidth="1"/>
    <col min="3630" max="3630" width="3.5703125" style="262"/>
    <col min="3631" max="3631" width="5.5703125" style="262" bestFit="1" customWidth="1"/>
    <col min="3632" max="3843" width="3.5703125" style="262"/>
    <col min="3844" max="3844" width="11.42578125" style="262" customWidth="1"/>
    <col min="3845" max="3845" width="1.85546875" style="262" customWidth="1"/>
    <col min="3846" max="3849" width="5.42578125" style="262" customWidth="1"/>
    <col min="3850" max="3850" width="10.42578125" style="262" customWidth="1"/>
    <col min="3851" max="3851" width="7.85546875" style="262" customWidth="1"/>
    <col min="3852" max="3852" width="8.85546875" style="262" customWidth="1"/>
    <col min="3853" max="3853" width="8.42578125" style="262" customWidth="1"/>
    <col min="3854" max="3854" width="4.42578125" style="262" customWidth="1"/>
    <col min="3855" max="3856" width="4.140625" style="262" customWidth="1"/>
    <col min="3857" max="3857" width="6.85546875" style="262" customWidth="1"/>
    <col min="3858" max="3858" width="4.140625" style="262" customWidth="1"/>
    <col min="3859" max="3864" width="4.42578125" style="262" customWidth="1"/>
    <col min="3865" max="3865" width="7" style="262" customWidth="1"/>
    <col min="3866" max="3866" width="0" style="262" hidden="1" customWidth="1"/>
    <col min="3867" max="3870" width="3.5703125" style="262" customWidth="1"/>
    <col min="3871" max="3872" width="3.5703125" style="262"/>
    <col min="3873" max="3874" width="0" style="262" hidden="1" customWidth="1"/>
    <col min="3875" max="3881" width="3.5703125" style="262"/>
    <col min="3882" max="3882" width="5.5703125" style="262" bestFit="1" customWidth="1"/>
    <col min="3883" max="3884" width="3.5703125" style="262"/>
    <col min="3885" max="3885" width="6.5703125" style="262" bestFit="1" customWidth="1"/>
    <col min="3886" max="3886" width="3.5703125" style="262"/>
    <col min="3887" max="3887" width="5.5703125" style="262" bestFit="1" customWidth="1"/>
    <col min="3888" max="4099" width="3.5703125" style="262"/>
    <col min="4100" max="4100" width="11.42578125" style="262" customWidth="1"/>
    <col min="4101" max="4101" width="1.85546875" style="262" customWidth="1"/>
    <col min="4102" max="4105" width="5.42578125" style="262" customWidth="1"/>
    <col min="4106" max="4106" width="10.42578125" style="262" customWidth="1"/>
    <col min="4107" max="4107" width="7.85546875" style="262" customWidth="1"/>
    <col min="4108" max="4108" width="8.85546875" style="262" customWidth="1"/>
    <col min="4109" max="4109" width="8.42578125" style="262" customWidth="1"/>
    <col min="4110" max="4110" width="4.42578125" style="262" customWidth="1"/>
    <col min="4111" max="4112" width="4.140625" style="262" customWidth="1"/>
    <col min="4113" max="4113" width="6.85546875" style="262" customWidth="1"/>
    <col min="4114" max="4114" width="4.140625" style="262" customWidth="1"/>
    <col min="4115" max="4120" width="4.42578125" style="262" customWidth="1"/>
    <col min="4121" max="4121" width="7" style="262" customWidth="1"/>
    <col min="4122" max="4122" width="0" style="262" hidden="1" customWidth="1"/>
    <col min="4123" max="4126" width="3.5703125" style="262" customWidth="1"/>
    <col min="4127" max="4128" width="3.5703125" style="262"/>
    <col min="4129" max="4130" width="0" style="262" hidden="1" customWidth="1"/>
    <col min="4131" max="4137" width="3.5703125" style="262"/>
    <col min="4138" max="4138" width="5.5703125" style="262" bestFit="1" customWidth="1"/>
    <col min="4139" max="4140" width="3.5703125" style="262"/>
    <col min="4141" max="4141" width="6.5703125" style="262" bestFit="1" customWidth="1"/>
    <col min="4142" max="4142" width="3.5703125" style="262"/>
    <col min="4143" max="4143" width="5.5703125" style="262" bestFit="1" customWidth="1"/>
    <col min="4144" max="4355" width="3.5703125" style="262"/>
    <col min="4356" max="4356" width="11.42578125" style="262" customWidth="1"/>
    <col min="4357" max="4357" width="1.85546875" style="262" customWidth="1"/>
    <col min="4358" max="4361" width="5.42578125" style="262" customWidth="1"/>
    <col min="4362" max="4362" width="10.42578125" style="262" customWidth="1"/>
    <col min="4363" max="4363" width="7.85546875" style="262" customWidth="1"/>
    <col min="4364" max="4364" width="8.85546875" style="262" customWidth="1"/>
    <col min="4365" max="4365" width="8.42578125" style="262" customWidth="1"/>
    <col min="4366" max="4366" width="4.42578125" style="262" customWidth="1"/>
    <col min="4367" max="4368" width="4.140625" style="262" customWidth="1"/>
    <col min="4369" max="4369" width="6.85546875" style="262" customWidth="1"/>
    <col min="4370" max="4370" width="4.140625" style="262" customWidth="1"/>
    <col min="4371" max="4376" width="4.42578125" style="262" customWidth="1"/>
    <col min="4377" max="4377" width="7" style="262" customWidth="1"/>
    <col min="4378" max="4378" width="0" style="262" hidden="1" customWidth="1"/>
    <col min="4379" max="4382" width="3.5703125" style="262" customWidth="1"/>
    <col min="4383" max="4384" width="3.5703125" style="262"/>
    <col min="4385" max="4386" width="0" style="262" hidden="1" customWidth="1"/>
    <col min="4387" max="4393" width="3.5703125" style="262"/>
    <col min="4394" max="4394" width="5.5703125" style="262" bestFit="1" customWidth="1"/>
    <col min="4395" max="4396" width="3.5703125" style="262"/>
    <col min="4397" max="4397" width="6.5703125" style="262" bestFit="1" customWidth="1"/>
    <col min="4398" max="4398" width="3.5703125" style="262"/>
    <col min="4399" max="4399" width="5.5703125" style="262" bestFit="1" customWidth="1"/>
    <col min="4400" max="4611" width="3.5703125" style="262"/>
    <col min="4612" max="4612" width="11.42578125" style="262" customWidth="1"/>
    <col min="4613" max="4613" width="1.85546875" style="262" customWidth="1"/>
    <col min="4614" max="4617" width="5.42578125" style="262" customWidth="1"/>
    <col min="4618" max="4618" width="10.42578125" style="262" customWidth="1"/>
    <col min="4619" max="4619" width="7.85546875" style="262" customWidth="1"/>
    <col min="4620" max="4620" width="8.85546875" style="262" customWidth="1"/>
    <col min="4621" max="4621" width="8.42578125" style="262" customWidth="1"/>
    <col min="4622" max="4622" width="4.42578125" style="262" customWidth="1"/>
    <col min="4623" max="4624" width="4.140625" style="262" customWidth="1"/>
    <col min="4625" max="4625" width="6.85546875" style="262" customWidth="1"/>
    <col min="4626" max="4626" width="4.140625" style="262" customWidth="1"/>
    <col min="4627" max="4632" width="4.42578125" style="262" customWidth="1"/>
    <col min="4633" max="4633" width="7" style="262" customWidth="1"/>
    <col min="4634" max="4634" width="0" style="262" hidden="1" customWidth="1"/>
    <col min="4635" max="4638" width="3.5703125" style="262" customWidth="1"/>
    <col min="4639" max="4640" width="3.5703125" style="262"/>
    <col min="4641" max="4642" width="0" style="262" hidden="1" customWidth="1"/>
    <col min="4643" max="4649" width="3.5703125" style="262"/>
    <col min="4650" max="4650" width="5.5703125" style="262" bestFit="1" customWidth="1"/>
    <col min="4651" max="4652" width="3.5703125" style="262"/>
    <col min="4653" max="4653" width="6.5703125" style="262" bestFit="1" customWidth="1"/>
    <col min="4654" max="4654" width="3.5703125" style="262"/>
    <col min="4655" max="4655" width="5.5703125" style="262" bestFit="1" customWidth="1"/>
    <col min="4656" max="4867" width="3.5703125" style="262"/>
    <col min="4868" max="4868" width="11.42578125" style="262" customWidth="1"/>
    <col min="4869" max="4869" width="1.85546875" style="262" customWidth="1"/>
    <col min="4870" max="4873" width="5.42578125" style="262" customWidth="1"/>
    <col min="4874" max="4874" width="10.42578125" style="262" customWidth="1"/>
    <col min="4875" max="4875" width="7.85546875" style="262" customWidth="1"/>
    <col min="4876" max="4876" width="8.85546875" style="262" customWidth="1"/>
    <col min="4877" max="4877" width="8.42578125" style="262" customWidth="1"/>
    <col min="4878" max="4878" width="4.42578125" style="262" customWidth="1"/>
    <col min="4879" max="4880" width="4.140625" style="262" customWidth="1"/>
    <col min="4881" max="4881" width="6.85546875" style="262" customWidth="1"/>
    <col min="4882" max="4882" width="4.140625" style="262" customWidth="1"/>
    <col min="4883" max="4888" width="4.42578125" style="262" customWidth="1"/>
    <col min="4889" max="4889" width="7" style="262" customWidth="1"/>
    <col min="4890" max="4890" width="0" style="262" hidden="1" customWidth="1"/>
    <col min="4891" max="4894" width="3.5703125" style="262" customWidth="1"/>
    <col min="4895" max="4896" width="3.5703125" style="262"/>
    <col min="4897" max="4898" width="0" style="262" hidden="1" customWidth="1"/>
    <col min="4899" max="4905" width="3.5703125" style="262"/>
    <col min="4906" max="4906" width="5.5703125" style="262" bestFit="1" customWidth="1"/>
    <col min="4907" max="4908" width="3.5703125" style="262"/>
    <col min="4909" max="4909" width="6.5703125" style="262" bestFit="1" customWidth="1"/>
    <col min="4910" max="4910" width="3.5703125" style="262"/>
    <col min="4911" max="4911" width="5.5703125" style="262" bestFit="1" customWidth="1"/>
    <col min="4912" max="5123" width="3.5703125" style="262"/>
    <col min="5124" max="5124" width="11.42578125" style="262" customWidth="1"/>
    <col min="5125" max="5125" width="1.85546875" style="262" customWidth="1"/>
    <col min="5126" max="5129" width="5.42578125" style="262" customWidth="1"/>
    <col min="5130" max="5130" width="10.42578125" style="262" customWidth="1"/>
    <col min="5131" max="5131" width="7.85546875" style="262" customWidth="1"/>
    <col min="5132" max="5132" width="8.85546875" style="262" customWidth="1"/>
    <col min="5133" max="5133" width="8.42578125" style="262" customWidth="1"/>
    <col min="5134" max="5134" width="4.42578125" style="262" customWidth="1"/>
    <col min="5135" max="5136" width="4.140625" style="262" customWidth="1"/>
    <col min="5137" max="5137" width="6.85546875" style="262" customWidth="1"/>
    <col min="5138" max="5138" width="4.140625" style="262" customWidth="1"/>
    <col min="5139" max="5144" width="4.42578125" style="262" customWidth="1"/>
    <col min="5145" max="5145" width="7" style="262" customWidth="1"/>
    <col min="5146" max="5146" width="0" style="262" hidden="1" customWidth="1"/>
    <col min="5147" max="5150" width="3.5703125" style="262" customWidth="1"/>
    <col min="5151" max="5152" width="3.5703125" style="262"/>
    <col min="5153" max="5154" width="0" style="262" hidden="1" customWidth="1"/>
    <col min="5155" max="5161" width="3.5703125" style="262"/>
    <col min="5162" max="5162" width="5.5703125" style="262" bestFit="1" customWidth="1"/>
    <col min="5163" max="5164" width="3.5703125" style="262"/>
    <col min="5165" max="5165" width="6.5703125" style="262" bestFit="1" customWidth="1"/>
    <col min="5166" max="5166" width="3.5703125" style="262"/>
    <col min="5167" max="5167" width="5.5703125" style="262" bestFit="1" customWidth="1"/>
    <col min="5168" max="5379" width="3.5703125" style="262"/>
    <col min="5380" max="5380" width="11.42578125" style="262" customWidth="1"/>
    <col min="5381" max="5381" width="1.85546875" style="262" customWidth="1"/>
    <col min="5382" max="5385" width="5.42578125" style="262" customWidth="1"/>
    <col min="5386" max="5386" width="10.42578125" style="262" customWidth="1"/>
    <col min="5387" max="5387" width="7.85546875" style="262" customWidth="1"/>
    <col min="5388" max="5388" width="8.85546875" style="262" customWidth="1"/>
    <col min="5389" max="5389" width="8.42578125" style="262" customWidth="1"/>
    <col min="5390" max="5390" width="4.42578125" style="262" customWidth="1"/>
    <col min="5391" max="5392" width="4.140625" style="262" customWidth="1"/>
    <col min="5393" max="5393" width="6.85546875" style="262" customWidth="1"/>
    <col min="5394" max="5394" width="4.140625" style="262" customWidth="1"/>
    <col min="5395" max="5400" width="4.42578125" style="262" customWidth="1"/>
    <col min="5401" max="5401" width="7" style="262" customWidth="1"/>
    <col min="5402" max="5402" width="0" style="262" hidden="1" customWidth="1"/>
    <col min="5403" max="5406" width="3.5703125" style="262" customWidth="1"/>
    <col min="5407" max="5408" width="3.5703125" style="262"/>
    <col min="5409" max="5410" width="0" style="262" hidden="1" customWidth="1"/>
    <col min="5411" max="5417" width="3.5703125" style="262"/>
    <col min="5418" max="5418" width="5.5703125" style="262" bestFit="1" customWidth="1"/>
    <col min="5419" max="5420" width="3.5703125" style="262"/>
    <col min="5421" max="5421" width="6.5703125" style="262" bestFit="1" customWidth="1"/>
    <col min="5422" max="5422" width="3.5703125" style="262"/>
    <col min="5423" max="5423" width="5.5703125" style="262" bestFit="1" customWidth="1"/>
    <col min="5424" max="5635" width="3.5703125" style="262"/>
    <col min="5636" max="5636" width="11.42578125" style="262" customWidth="1"/>
    <col min="5637" max="5637" width="1.85546875" style="262" customWidth="1"/>
    <col min="5638" max="5641" width="5.42578125" style="262" customWidth="1"/>
    <col min="5642" max="5642" width="10.42578125" style="262" customWidth="1"/>
    <col min="5643" max="5643" width="7.85546875" style="262" customWidth="1"/>
    <col min="5644" max="5644" width="8.85546875" style="262" customWidth="1"/>
    <col min="5645" max="5645" width="8.42578125" style="262" customWidth="1"/>
    <col min="5646" max="5646" width="4.42578125" style="262" customWidth="1"/>
    <col min="5647" max="5648" width="4.140625" style="262" customWidth="1"/>
    <col min="5649" max="5649" width="6.85546875" style="262" customWidth="1"/>
    <col min="5650" max="5650" width="4.140625" style="262" customWidth="1"/>
    <col min="5651" max="5656" width="4.42578125" style="262" customWidth="1"/>
    <col min="5657" max="5657" width="7" style="262" customWidth="1"/>
    <col min="5658" max="5658" width="0" style="262" hidden="1" customWidth="1"/>
    <col min="5659" max="5662" width="3.5703125" style="262" customWidth="1"/>
    <col min="5663" max="5664" width="3.5703125" style="262"/>
    <col min="5665" max="5666" width="0" style="262" hidden="1" customWidth="1"/>
    <col min="5667" max="5673" width="3.5703125" style="262"/>
    <col min="5674" max="5674" width="5.5703125" style="262" bestFit="1" customWidth="1"/>
    <col min="5675" max="5676" width="3.5703125" style="262"/>
    <col min="5677" max="5677" width="6.5703125" style="262" bestFit="1" customWidth="1"/>
    <col min="5678" max="5678" width="3.5703125" style="262"/>
    <col min="5679" max="5679" width="5.5703125" style="262" bestFit="1" customWidth="1"/>
    <col min="5680" max="5891" width="3.5703125" style="262"/>
    <col min="5892" max="5892" width="11.42578125" style="262" customWidth="1"/>
    <col min="5893" max="5893" width="1.85546875" style="262" customWidth="1"/>
    <col min="5894" max="5897" width="5.42578125" style="262" customWidth="1"/>
    <col min="5898" max="5898" width="10.42578125" style="262" customWidth="1"/>
    <col min="5899" max="5899" width="7.85546875" style="262" customWidth="1"/>
    <col min="5900" max="5900" width="8.85546875" style="262" customWidth="1"/>
    <col min="5901" max="5901" width="8.42578125" style="262" customWidth="1"/>
    <col min="5902" max="5902" width="4.42578125" style="262" customWidth="1"/>
    <col min="5903" max="5904" width="4.140625" style="262" customWidth="1"/>
    <col min="5905" max="5905" width="6.85546875" style="262" customWidth="1"/>
    <col min="5906" max="5906" width="4.140625" style="262" customWidth="1"/>
    <col min="5907" max="5912" width="4.42578125" style="262" customWidth="1"/>
    <col min="5913" max="5913" width="7" style="262" customWidth="1"/>
    <col min="5914" max="5914" width="0" style="262" hidden="1" customWidth="1"/>
    <col min="5915" max="5918" width="3.5703125" style="262" customWidth="1"/>
    <col min="5919" max="5920" width="3.5703125" style="262"/>
    <col min="5921" max="5922" width="0" style="262" hidden="1" customWidth="1"/>
    <col min="5923" max="5929" width="3.5703125" style="262"/>
    <col min="5930" max="5930" width="5.5703125" style="262" bestFit="1" customWidth="1"/>
    <col min="5931" max="5932" width="3.5703125" style="262"/>
    <col min="5933" max="5933" width="6.5703125" style="262" bestFit="1" customWidth="1"/>
    <col min="5934" max="5934" width="3.5703125" style="262"/>
    <col min="5935" max="5935" width="5.5703125" style="262" bestFit="1" customWidth="1"/>
    <col min="5936" max="6147" width="3.5703125" style="262"/>
    <col min="6148" max="6148" width="11.42578125" style="262" customWidth="1"/>
    <col min="6149" max="6149" width="1.85546875" style="262" customWidth="1"/>
    <col min="6150" max="6153" width="5.42578125" style="262" customWidth="1"/>
    <col min="6154" max="6154" width="10.42578125" style="262" customWidth="1"/>
    <col min="6155" max="6155" width="7.85546875" style="262" customWidth="1"/>
    <col min="6156" max="6156" width="8.85546875" style="262" customWidth="1"/>
    <col min="6157" max="6157" width="8.42578125" style="262" customWidth="1"/>
    <col min="6158" max="6158" width="4.42578125" style="262" customWidth="1"/>
    <col min="6159" max="6160" width="4.140625" style="262" customWidth="1"/>
    <col min="6161" max="6161" width="6.85546875" style="262" customWidth="1"/>
    <col min="6162" max="6162" width="4.140625" style="262" customWidth="1"/>
    <col min="6163" max="6168" width="4.42578125" style="262" customWidth="1"/>
    <col min="6169" max="6169" width="7" style="262" customWidth="1"/>
    <col min="6170" max="6170" width="0" style="262" hidden="1" customWidth="1"/>
    <col min="6171" max="6174" width="3.5703125" style="262" customWidth="1"/>
    <col min="6175" max="6176" width="3.5703125" style="262"/>
    <col min="6177" max="6178" width="0" style="262" hidden="1" customWidth="1"/>
    <col min="6179" max="6185" width="3.5703125" style="262"/>
    <col min="6186" max="6186" width="5.5703125" style="262" bestFit="1" customWidth="1"/>
    <col min="6187" max="6188" width="3.5703125" style="262"/>
    <col min="6189" max="6189" width="6.5703125" style="262" bestFit="1" customWidth="1"/>
    <col min="6190" max="6190" width="3.5703125" style="262"/>
    <col min="6191" max="6191" width="5.5703125" style="262" bestFit="1" customWidth="1"/>
    <col min="6192" max="6403" width="3.5703125" style="262"/>
    <col min="6404" max="6404" width="11.42578125" style="262" customWidth="1"/>
    <col min="6405" max="6405" width="1.85546875" style="262" customWidth="1"/>
    <col min="6406" max="6409" width="5.42578125" style="262" customWidth="1"/>
    <col min="6410" max="6410" width="10.42578125" style="262" customWidth="1"/>
    <col min="6411" max="6411" width="7.85546875" style="262" customWidth="1"/>
    <col min="6412" max="6412" width="8.85546875" style="262" customWidth="1"/>
    <col min="6413" max="6413" width="8.42578125" style="262" customWidth="1"/>
    <col min="6414" max="6414" width="4.42578125" style="262" customWidth="1"/>
    <col min="6415" max="6416" width="4.140625" style="262" customWidth="1"/>
    <col min="6417" max="6417" width="6.85546875" style="262" customWidth="1"/>
    <col min="6418" max="6418" width="4.140625" style="262" customWidth="1"/>
    <col min="6419" max="6424" width="4.42578125" style="262" customWidth="1"/>
    <col min="6425" max="6425" width="7" style="262" customWidth="1"/>
    <col min="6426" max="6426" width="0" style="262" hidden="1" customWidth="1"/>
    <col min="6427" max="6430" width="3.5703125" style="262" customWidth="1"/>
    <col min="6431" max="6432" width="3.5703125" style="262"/>
    <col min="6433" max="6434" width="0" style="262" hidden="1" customWidth="1"/>
    <col min="6435" max="6441" width="3.5703125" style="262"/>
    <col min="6442" max="6442" width="5.5703125" style="262" bestFit="1" customWidth="1"/>
    <col min="6443" max="6444" width="3.5703125" style="262"/>
    <col min="6445" max="6445" width="6.5703125" style="262" bestFit="1" customWidth="1"/>
    <col min="6446" max="6446" width="3.5703125" style="262"/>
    <col min="6447" max="6447" width="5.5703125" style="262" bestFit="1" customWidth="1"/>
    <col min="6448" max="6659" width="3.5703125" style="262"/>
    <col min="6660" max="6660" width="11.42578125" style="262" customWidth="1"/>
    <col min="6661" max="6661" width="1.85546875" style="262" customWidth="1"/>
    <col min="6662" max="6665" width="5.42578125" style="262" customWidth="1"/>
    <col min="6666" max="6666" width="10.42578125" style="262" customWidth="1"/>
    <col min="6667" max="6667" width="7.85546875" style="262" customWidth="1"/>
    <col min="6668" max="6668" width="8.85546875" style="262" customWidth="1"/>
    <col min="6669" max="6669" width="8.42578125" style="262" customWidth="1"/>
    <col min="6670" max="6670" width="4.42578125" style="262" customWidth="1"/>
    <col min="6671" max="6672" width="4.140625" style="262" customWidth="1"/>
    <col min="6673" max="6673" width="6.85546875" style="262" customWidth="1"/>
    <col min="6674" max="6674" width="4.140625" style="262" customWidth="1"/>
    <col min="6675" max="6680" width="4.42578125" style="262" customWidth="1"/>
    <col min="6681" max="6681" width="7" style="262" customWidth="1"/>
    <col min="6682" max="6682" width="0" style="262" hidden="1" customWidth="1"/>
    <col min="6683" max="6686" width="3.5703125" style="262" customWidth="1"/>
    <col min="6687" max="6688" width="3.5703125" style="262"/>
    <col min="6689" max="6690" width="0" style="262" hidden="1" customWidth="1"/>
    <col min="6691" max="6697" width="3.5703125" style="262"/>
    <col min="6698" max="6698" width="5.5703125" style="262" bestFit="1" customWidth="1"/>
    <col min="6699" max="6700" width="3.5703125" style="262"/>
    <col min="6701" max="6701" width="6.5703125" style="262" bestFit="1" customWidth="1"/>
    <col min="6702" max="6702" width="3.5703125" style="262"/>
    <col min="6703" max="6703" width="5.5703125" style="262" bestFit="1" customWidth="1"/>
    <col min="6704" max="6915" width="3.5703125" style="262"/>
    <col min="6916" max="6916" width="11.42578125" style="262" customWidth="1"/>
    <col min="6917" max="6917" width="1.85546875" style="262" customWidth="1"/>
    <col min="6918" max="6921" width="5.42578125" style="262" customWidth="1"/>
    <col min="6922" max="6922" width="10.42578125" style="262" customWidth="1"/>
    <col min="6923" max="6923" width="7.85546875" style="262" customWidth="1"/>
    <col min="6924" max="6924" width="8.85546875" style="262" customWidth="1"/>
    <col min="6925" max="6925" width="8.42578125" style="262" customWidth="1"/>
    <col min="6926" max="6926" width="4.42578125" style="262" customWidth="1"/>
    <col min="6927" max="6928" width="4.140625" style="262" customWidth="1"/>
    <col min="6929" max="6929" width="6.85546875" style="262" customWidth="1"/>
    <col min="6930" max="6930" width="4.140625" style="262" customWidth="1"/>
    <col min="6931" max="6936" width="4.42578125" style="262" customWidth="1"/>
    <col min="6937" max="6937" width="7" style="262" customWidth="1"/>
    <col min="6938" max="6938" width="0" style="262" hidden="1" customWidth="1"/>
    <col min="6939" max="6942" width="3.5703125" style="262" customWidth="1"/>
    <col min="6943" max="6944" width="3.5703125" style="262"/>
    <col min="6945" max="6946" width="0" style="262" hidden="1" customWidth="1"/>
    <col min="6947" max="6953" width="3.5703125" style="262"/>
    <col min="6954" max="6954" width="5.5703125" style="262" bestFit="1" customWidth="1"/>
    <col min="6955" max="6956" width="3.5703125" style="262"/>
    <col min="6957" max="6957" width="6.5703125" style="262" bestFit="1" customWidth="1"/>
    <col min="6958" max="6958" width="3.5703125" style="262"/>
    <col min="6959" max="6959" width="5.5703125" style="262" bestFit="1" customWidth="1"/>
    <col min="6960" max="7171" width="3.5703125" style="262"/>
    <col min="7172" max="7172" width="11.42578125" style="262" customWidth="1"/>
    <col min="7173" max="7173" width="1.85546875" style="262" customWidth="1"/>
    <col min="7174" max="7177" width="5.42578125" style="262" customWidth="1"/>
    <col min="7178" max="7178" width="10.42578125" style="262" customWidth="1"/>
    <col min="7179" max="7179" width="7.85546875" style="262" customWidth="1"/>
    <col min="7180" max="7180" width="8.85546875" style="262" customWidth="1"/>
    <col min="7181" max="7181" width="8.42578125" style="262" customWidth="1"/>
    <col min="7182" max="7182" width="4.42578125" style="262" customWidth="1"/>
    <col min="7183" max="7184" width="4.140625" style="262" customWidth="1"/>
    <col min="7185" max="7185" width="6.85546875" style="262" customWidth="1"/>
    <col min="7186" max="7186" width="4.140625" style="262" customWidth="1"/>
    <col min="7187" max="7192" width="4.42578125" style="262" customWidth="1"/>
    <col min="7193" max="7193" width="7" style="262" customWidth="1"/>
    <col min="7194" max="7194" width="0" style="262" hidden="1" customWidth="1"/>
    <col min="7195" max="7198" width="3.5703125" style="262" customWidth="1"/>
    <col min="7199" max="7200" width="3.5703125" style="262"/>
    <col min="7201" max="7202" width="0" style="262" hidden="1" customWidth="1"/>
    <col min="7203" max="7209" width="3.5703125" style="262"/>
    <col min="7210" max="7210" width="5.5703125" style="262" bestFit="1" customWidth="1"/>
    <col min="7211" max="7212" width="3.5703125" style="262"/>
    <col min="7213" max="7213" width="6.5703125" style="262" bestFit="1" customWidth="1"/>
    <col min="7214" max="7214" width="3.5703125" style="262"/>
    <col min="7215" max="7215" width="5.5703125" style="262" bestFit="1" customWidth="1"/>
    <col min="7216" max="7427" width="3.5703125" style="262"/>
    <col min="7428" max="7428" width="11.42578125" style="262" customWidth="1"/>
    <col min="7429" max="7429" width="1.85546875" style="262" customWidth="1"/>
    <col min="7430" max="7433" width="5.42578125" style="262" customWidth="1"/>
    <col min="7434" max="7434" width="10.42578125" style="262" customWidth="1"/>
    <col min="7435" max="7435" width="7.85546875" style="262" customWidth="1"/>
    <col min="7436" max="7436" width="8.85546875" style="262" customWidth="1"/>
    <col min="7437" max="7437" width="8.42578125" style="262" customWidth="1"/>
    <col min="7438" max="7438" width="4.42578125" style="262" customWidth="1"/>
    <col min="7439" max="7440" width="4.140625" style="262" customWidth="1"/>
    <col min="7441" max="7441" width="6.85546875" style="262" customWidth="1"/>
    <col min="7442" max="7442" width="4.140625" style="262" customWidth="1"/>
    <col min="7443" max="7448" width="4.42578125" style="262" customWidth="1"/>
    <col min="7449" max="7449" width="7" style="262" customWidth="1"/>
    <col min="7450" max="7450" width="0" style="262" hidden="1" customWidth="1"/>
    <col min="7451" max="7454" width="3.5703125" style="262" customWidth="1"/>
    <col min="7455" max="7456" width="3.5703125" style="262"/>
    <col min="7457" max="7458" width="0" style="262" hidden="1" customWidth="1"/>
    <col min="7459" max="7465" width="3.5703125" style="262"/>
    <col min="7466" max="7466" width="5.5703125" style="262" bestFit="1" customWidth="1"/>
    <col min="7467" max="7468" width="3.5703125" style="262"/>
    <col min="7469" max="7469" width="6.5703125" style="262" bestFit="1" customWidth="1"/>
    <col min="7470" max="7470" width="3.5703125" style="262"/>
    <col min="7471" max="7471" width="5.5703125" style="262" bestFit="1" customWidth="1"/>
    <col min="7472" max="7683" width="3.5703125" style="262"/>
    <col min="7684" max="7684" width="11.42578125" style="262" customWidth="1"/>
    <col min="7685" max="7685" width="1.85546875" style="262" customWidth="1"/>
    <col min="7686" max="7689" width="5.42578125" style="262" customWidth="1"/>
    <col min="7690" max="7690" width="10.42578125" style="262" customWidth="1"/>
    <col min="7691" max="7691" width="7.85546875" style="262" customWidth="1"/>
    <col min="7692" max="7692" width="8.85546875" style="262" customWidth="1"/>
    <col min="7693" max="7693" width="8.42578125" style="262" customWidth="1"/>
    <col min="7694" max="7694" width="4.42578125" style="262" customWidth="1"/>
    <col min="7695" max="7696" width="4.140625" style="262" customWidth="1"/>
    <col min="7697" max="7697" width="6.85546875" style="262" customWidth="1"/>
    <col min="7698" max="7698" width="4.140625" style="262" customWidth="1"/>
    <col min="7699" max="7704" width="4.42578125" style="262" customWidth="1"/>
    <col min="7705" max="7705" width="7" style="262" customWidth="1"/>
    <col min="7706" max="7706" width="0" style="262" hidden="1" customWidth="1"/>
    <col min="7707" max="7710" width="3.5703125" style="262" customWidth="1"/>
    <col min="7711" max="7712" width="3.5703125" style="262"/>
    <col min="7713" max="7714" width="0" style="262" hidden="1" customWidth="1"/>
    <col min="7715" max="7721" width="3.5703125" style="262"/>
    <col min="7722" max="7722" width="5.5703125" style="262" bestFit="1" customWidth="1"/>
    <col min="7723" max="7724" width="3.5703125" style="262"/>
    <col min="7725" max="7725" width="6.5703125" style="262" bestFit="1" customWidth="1"/>
    <col min="7726" max="7726" width="3.5703125" style="262"/>
    <col min="7727" max="7727" width="5.5703125" style="262" bestFit="1" customWidth="1"/>
    <col min="7728" max="7939" width="3.5703125" style="262"/>
    <col min="7940" max="7940" width="11.42578125" style="262" customWidth="1"/>
    <col min="7941" max="7941" width="1.85546875" style="262" customWidth="1"/>
    <col min="7942" max="7945" width="5.42578125" style="262" customWidth="1"/>
    <col min="7946" max="7946" width="10.42578125" style="262" customWidth="1"/>
    <col min="7947" max="7947" width="7.85546875" style="262" customWidth="1"/>
    <col min="7948" max="7948" width="8.85546875" style="262" customWidth="1"/>
    <col min="7949" max="7949" width="8.42578125" style="262" customWidth="1"/>
    <col min="7950" max="7950" width="4.42578125" style="262" customWidth="1"/>
    <col min="7951" max="7952" width="4.140625" style="262" customWidth="1"/>
    <col min="7953" max="7953" width="6.85546875" style="262" customWidth="1"/>
    <col min="7954" max="7954" width="4.140625" style="262" customWidth="1"/>
    <col min="7955" max="7960" width="4.42578125" style="262" customWidth="1"/>
    <col min="7961" max="7961" width="7" style="262" customWidth="1"/>
    <col min="7962" max="7962" width="0" style="262" hidden="1" customWidth="1"/>
    <col min="7963" max="7966" width="3.5703125" style="262" customWidth="1"/>
    <col min="7967" max="7968" width="3.5703125" style="262"/>
    <col min="7969" max="7970" width="0" style="262" hidden="1" customWidth="1"/>
    <col min="7971" max="7977" width="3.5703125" style="262"/>
    <col min="7978" max="7978" width="5.5703125" style="262" bestFit="1" customWidth="1"/>
    <col min="7979" max="7980" width="3.5703125" style="262"/>
    <col min="7981" max="7981" width="6.5703125" style="262" bestFit="1" customWidth="1"/>
    <col min="7982" max="7982" width="3.5703125" style="262"/>
    <col min="7983" max="7983" width="5.5703125" style="262" bestFit="1" customWidth="1"/>
    <col min="7984" max="8195" width="3.5703125" style="262"/>
    <col min="8196" max="8196" width="11.42578125" style="262" customWidth="1"/>
    <col min="8197" max="8197" width="1.85546875" style="262" customWidth="1"/>
    <col min="8198" max="8201" width="5.42578125" style="262" customWidth="1"/>
    <col min="8202" max="8202" width="10.42578125" style="262" customWidth="1"/>
    <col min="8203" max="8203" width="7.85546875" style="262" customWidth="1"/>
    <col min="8204" max="8204" width="8.85546875" style="262" customWidth="1"/>
    <col min="8205" max="8205" width="8.42578125" style="262" customWidth="1"/>
    <col min="8206" max="8206" width="4.42578125" style="262" customWidth="1"/>
    <col min="8207" max="8208" width="4.140625" style="262" customWidth="1"/>
    <col min="8209" max="8209" width="6.85546875" style="262" customWidth="1"/>
    <col min="8210" max="8210" width="4.140625" style="262" customWidth="1"/>
    <col min="8211" max="8216" width="4.42578125" style="262" customWidth="1"/>
    <col min="8217" max="8217" width="7" style="262" customWidth="1"/>
    <col min="8218" max="8218" width="0" style="262" hidden="1" customWidth="1"/>
    <col min="8219" max="8222" width="3.5703125" style="262" customWidth="1"/>
    <col min="8223" max="8224" width="3.5703125" style="262"/>
    <col min="8225" max="8226" width="0" style="262" hidden="1" customWidth="1"/>
    <col min="8227" max="8233" width="3.5703125" style="262"/>
    <col min="8234" max="8234" width="5.5703125" style="262" bestFit="1" customWidth="1"/>
    <col min="8235" max="8236" width="3.5703125" style="262"/>
    <col min="8237" max="8237" width="6.5703125" style="262" bestFit="1" customWidth="1"/>
    <col min="8238" max="8238" width="3.5703125" style="262"/>
    <col min="8239" max="8239" width="5.5703125" style="262" bestFit="1" customWidth="1"/>
    <col min="8240" max="8451" width="3.5703125" style="262"/>
    <col min="8452" max="8452" width="11.42578125" style="262" customWidth="1"/>
    <col min="8453" max="8453" width="1.85546875" style="262" customWidth="1"/>
    <col min="8454" max="8457" width="5.42578125" style="262" customWidth="1"/>
    <col min="8458" max="8458" width="10.42578125" style="262" customWidth="1"/>
    <col min="8459" max="8459" width="7.85546875" style="262" customWidth="1"/>
    <col min="8460" max="8460" width="8.85546875" style="262" customWidth="1"/>
    <col min="8461" max="8461" width="8.42578125" style="262" customWidth="1"/>
    <col min="8462" max="8462" width="4.42578125" style="262" customWidth="1"/>
    <col min="8463" max="8464" width="4.140625" style="262" customWidth="1"/>
    <col min="8465" max="8465" width="6.85546875" style="262" customWidth="1"/>
    <col min="8466" max="8466" width="4.140625" style="262" customWidth="1"/>
    <col min="8467" max="8472" width="4.42578125" style="262" customWidth="1"/>
    <col min="8473" max="8473" width="7" style="262" customWidth="1"/>
    <col min="8474" max="8474" width="0" style="262" hidden="1" customWidth="1"/>
    <col min="8475" max="8478" width="3.5703125" style="262" customWidth="1"/>
    <col min="8479" max="8480" width="3.5703125" style="262"/>
    <col min="8481" max="8482" width="0" style="262" hidden="1" customWidth="1"/>
    <col min="8483" max="8489" width="3.5703125" style="262"/>
    <col min="8490" max="8490" width="5.5703125" style="262" bestFit="1" customWidth="1"/>
    <col min="8491" max="8492" width="3.5703125" style="262"/>
    <col min="8493" max="8493" width="6.5703125" style="262" bestFit="1" customWidth="1"/>
    <col min="8494" max="8494" width="3.5703125" style="262"/>
    <col min="8495" max="8495" width="5.5703125" style="262" bestFit="1" customWidth="1"/>
    <col min="8496" max="8707" width="3.5703125" style="262"/>
    <col min="8708" max="8708" width="11.42578125" style="262" customWidth="1"/>
    <col min="8709" max="8709" width="1.85546875" style="262" customWidth="1"/>
    <col min="8710" max="8713" width="5.42578125" style="262" customWidth="1"/>
    <col min="8714" max="8714" width="10.42578125" style="262" customWidth="1"/>
    <col min="8715" max="8715" width="7.85546875" style="262" customWidth="1"/>
    <col min="8716" max="8716" width="8.85546875" style="262" customWidth="1"/>
    <col min="8717" max="8717" width="8.42578125" style="262" customWidth="1"/>
    <col min="8718" max="8718" width="4.42578125" style="262" customWidth="1"/>
    <col min="8719" max="8720" width="4.140625" style="262" customWidth="1"/>
    <col min="8721" max="8721" width="6.85546875" style="262" customWidth="1"/>
    <col min="8722" max="8722" width="4.140625" style="262" customWidth="1"/>
    <col min="8723" max="8728" width="4.42578125" style="262" customWidth="1"/>
    <col min="8729" max="8729" width="7" style="262" customWidth="1"/>
    <col min="8730" max="8730" width="0" style="262" hidden="1" customWidth="1"/>
    <col min="8731" max="8734" width="3.5703125" style="262" customWidth="1"/>
    <col min="8735" max="8736" width="3.5703125" style="262"/>
    <col min="8737" max="8738" width="0" style="262" hidden="1" customWidth="1"/>
    <col min="8739" max="8745" width="3.5703125" style="262"/>
    <col min="8746" max="8746" width="5.5703125" style="262" bestFit="1" customWidth="1"/>
    <col min="8747" max="8748" width="3.5703125" style="262"/>
    <col min="8749" max="8749" width="6.5703125" style="262" bestFit="1" customWidth="1"/>
    <col min="8750" max="8750" width="3.5703125" style="262"/>
    <col min="8751" max="8751" width="5.5703125" style="262" bestFit="1" customWidth="1"/>
    <col min="8752" max="8963" width="3.5703125" style="262"/>
    <col min="8964" max="8964" width="11.42578125" style="262" customWidth="1"/>
    <col min="8965" max="8965" width="1.85546875" style="262" customWidth="1"/>
    <col min="8966" max="8969" width="5.42578125" style="262" customWidth="1"/>
    <col min="8970" max="8970" width="10.42578125" style="262" customWidth="1"/>
    <col min="8971" max="8971" width="7.85546875" style="262" customWidth="1"/>
    <col min="8972" max="8972" width="8.85546875" style="262" customWidth="1"/>
    <col min="8973" max="8973" width="8.42578125" style="262" customWidth="1"/>
    <col min="8974" max="8974" width="4.42578125" style="262" customWidth="1"/>
    <col min="8975" max="8976" width="4.140625" style="262" customWidth="1"/>
    <col min="8977" max="8977" width="6.85546875" style="262" customWidth="1"/>
    <col min="8978" max="8978" width="4.140625" style="262" customWidth="1"/>
    <col min="8979" max="8984" width="4.42578125" style="262" customWidth="1"/>
    <col min="8985" max="8985" width="7" style="262" customWidth="1"/>
    <col min="8986" max="8986" width="0" style="262" hidden="1" customWidth="1"/>
    <col min="8987" max="8990" width="3.5703125" style="262" customWidth="1"/>
    <col min="8991" max="8992" width="3.5703125" style="262"/>
    <col min="8993" max="8994" width="0" style="262" hidden="1" customWidth="1"/>
    <col min="8995" max="9001" width="3.5703125" style="262"/>
    <col min="9002" max="9002" width="5.5703125" style="262" bestFit="1" customWidth="1"/>
    <col min="9003" max="9004" width="3.5703125" style="262"/>
    <col min="9005" max="9005" width="6.5703125" style="262" bestFit="1" customWidth="1"/>
    <col min="9006" max="9006" width="3.5703125" style="262"/>
    <col min="9007" max="9007" width="5.5703125" style="262" bestFit="1" customWidth="1"/>
    <col min="9008" max="9219" width="3.5703125" style="262"/>
    <col min="9220" max="9220" width="11.42578125" style="262" customWidth="1"/>
    <col min="9221" max="9221" width="1.85546875" style="262" customWidth="1"/>
    <col min="9222" max="9225" width="5.42578125" style="262" customWidth="1"/>
    <col min="9226" max="9226" width="10.42578125" style="262" customWidth="1"/>
    <col min="9227" max="9227" width="7.85546875" style="262" customWidth="1"/>
    <col min="9228" max="9228" width="8.85546875" style="262" customWidth="1"/>
    <col min="9229" max="9229" width="8.42578125" style="262" customWidth="1"/>
    <col min="9230" max="9230" width="4.42578125" style="262" customWidth="1"/>
    <col min="9231" max="9232" width="4.140625" style="262" customWidth="1"/>
    <col min="9233" max="9233" width="6.85546875" style="262" customWidth="1"/>
    <col min="9234" max="9234" width="4.140625" style="262" customWidth="1"/>
    <col min="9235" max="9240" width="4.42578125" style="262" customWidth="1"/>
    <col min="9241" max="9241" width="7" style="262" customWidth="1"/>
    <col min="9242" max="9242" width="0" style="262" hidden="1" customWidth="1"/>
    <col min="9243" max="9246" width="3.5703125" style="262" customWidth="1"/>
    <col min="9247" max="9248" width="3.5703125" style="262"/>
    <col min="9249" max="9250" width="0" style="262" hidden="1" customWidth="1"/>
    <col min="9251" max="9257" width="3.5703125" style="262"/>
    <col min="9258" max="9258" width="5.5703125" style="262" bestFit="1" customWidth="1"/>
    <col min="9259" max="9260" width="3.5703125" style="262"/>
    <col min="9261" max="9261" width="6.5703125" style="262" bestFit="1" customWidth="1"/>
    <col min="9262" max="9262" width="3.5703125" style="262"/>
    <col min="9263" max="9263" width="5.5703125" style="262" bestFit="1" customWidth="1"/>
    <col min="9264" max="9475" width="3.5703125" style="262"/>
    <col min="9476" max="9476" width="11.42578125" style="262" customWidth="1"/>
    <col min="9477" max="9477" width="1.85546875" style="262" customWidth="1"/>
    <col min="9478" max="9481" width="5.42578125" style="262" customWidth="1"/>
    <col min="9482" max="9482" width="10.42578125" style="262" customWidth="1"/>
    <col min="9483" max="9483" width="7.85546875" style="262" customWidth="1"/>
    <col min="9484" max="9484" width="8.85546875" style="262" customWidth="1"/>
    <col min="9485" max="9485" width="8.42578125" style="262" customWidth="1"/>
    <col min="9486" max="9486" width="4.42578125" style="262" customWidth="1"/>
    <col min="9487" max="9488" width="4.140625" style="262" customWidth="1"/>
    <col min="9489" max="9489" width="6.85546875" style="262" customWidth="1"/>
    <col min="9490" max="9490" width="4.140625" style="262" customWidth="1"/>
    <col min="9491" max="9496" width="4.42578125" style="262" customWidth="1"/>
    <col min="9497" max="9497" width="7" style="262" customWidth="1"/>
    <col min="9498" max="9498" width="0" style="262" hidden="1" customWidth="1"/>
    <col min="9499" max="9502" width="3.5703125" style="262" customWidth="1"/>
    <col min="9503" max="9504" width="3.5703125" style="262"/>
    <col min="9505" max="9506" width="0" style="262" hidden="1" customWidth="1"/>
    <col min="9507" max="9513" width="3.5703125" style="262"/>
    <col min="9514" max="9514" width="5.5703125" style="262" bestFit="1" customWidth="1"/>
    <col min="9515" max="9516" width="3.5703125" style="262"/>
    <col min="9517" max="9517" width="6.5703125" style="262" bestFit="1" customWidth="1"/>
    <col min="9518" max="9518" width="3.5703125" style="262"/>
    <col min="9519" max="9519" width="5.5703125" style="262" bestFit="1" customWidth="1"/>
    <col min="9520" max="9731" width="3.5703125" style="262"/>
    <col min="9732" max="9732" width="11.42578125" style="262" customWidth="1"/>
    <col min="9733" max="9733" width="1.85546875" style="262" customWidth="1"/>
    <col min="9734" max="9737" width="5.42578125" style="262" customWidth="1"/>
    <col min="9738" max="9738" width="10.42578125" style="262" customWidth="1"/>
    <col min="9739" max="9739" width="7.85546875" style="262" customWidth="1"/>
    <col min="9740" max="9740" width="8.85546875" style="262" customWidth="1"/>
    <col min="9741" max="9741" width="8.42578125" style="262" customWidth="1"/>
    <col min="9742" max="9742" width="4.42578125" style="262" customWidth="1"/>
    <col min="9743" max="9744" width="4.140625" style="262" customWidth="1"/>
    <col min="9745" max="9745" width="6.85546875" style="262" customWidth="1"/>
    <col min="9746" max="9746" width="4.140625" style="262" customWidth="1"/>
    <col min="9747" max="9752" width="4.42578125" style="262" customWidth="1"/>
    <col min="9753" max="9753" width="7" style="262" customWidth="1"/>
    <col min="9754" max="9754" width="0" style="262" hidden="1" customWidth="1"/>
    <col min="9755" max="9758" width="3.5703125" style="262" customWidth="1"/>
    <col min="9759" max="9760" width="3.5703125" style="262"/>
    <col min="9761" max="9762" width="0" style="262" hidden="1" customWidth="1"/>
    <col min="9763" max="9769" width="3.5703125" style="262"/>
    <col min="9770" max="9770" width="5.5703125" style="262" bestFit="1" customWidth="1"/>
    <col min="9771" max="9772" width="3.5703125" style="262"/>
    <col min="9773" max="9773" width="6.5703125" style="262" bestFit="1" customWidth="1"/>
    <col min="9774" max="9774" width="3.5703125" style="262"/>
    <col min="9775" max="9775" width="5.5703125" style="262" bestFit="1" customWidth="1"/>
    <col min="9776" max="9987" width="3.5703125" style="262"/>
    <col min="9988" max="9988" width="11.42578125" style="262" customWidth="1"/>
    <col min="9989" max="9989" width="1.85546875" style="262" customWidth="1"/>
    <col min="9990" max="9993" width="5.42578125" style="262" customWidth="1"/>
    <col min="9994" max="9994" width="10.42578125" style="262" customWidth="1"/>
    <col min="9995" max="9995" width="7.85546875" style="262" customWidth="1"/>
    <col min="9996" max="9996" width="8.85546875" style="262" customWidth="1"/>
    <col min="9997" max="9997" width="8.42578125" style="262" customWidth="1"/>
    <col min="9998" max="9998" width="4.42578125" style="262" customWidth="1"/>
    <col min="9999" max="10000" width="4.140625" style="262" customWidth="1"/>
    <col min="10001" max="10001" width="6.85546875" style="262" customWidth="1"/>
    <col min="10002" max="10002" width="4.140625" style="262" customWidth="1"/>
    <col min="10003" max="10008" width="4.42578125" style="262" customWidth="1"/>
    <col min="10009" max="10009" width="7" style="262" customWidth="1"/>
    <col min="10010" max="10010" width="0" style="262" hidden="1" customWidth="1"/>
    <col min="10011" max="10014" width="3.5703125" style="262" customWidth="1"/>
    <col min="10015" max="10016" width="3.5703125" style="262"/>
    <col min="10017" max="10018" width="0" style="262" hidden="1" customWidth="1"/>
    <col min="10019" max="10025" width="3.5703125" style="262"/>
    <col min="10026" max="10026" width="5.5703125" style="262" bestFit="1" customWidth="1"/>
    <col min="10027" max="10028" width="3.5703125" style="262"/>
    <col min="10029" max="10029" width="6.5703125" style="262" bestFit="1" customWidth="1"/>
    <col min="10030" max="10030" width="3.5703125" style="262"/>
    <col min="10031" max="10031" width="5.5703125" style="262" bestFit="1" customWidth="1"/>
    <col min="10032" max="10243" width="3.5703125" style="262"/>
    <col min="10244" max="10244" width="11.42578125" style="262" customWidth="1"/>
    <col min="10245" max="10245" width="1.85546875" style="262" customWidth="1"/>
    <col min="10246" max="10249" width="5.42578125" style="262" customWidth="1"/>
    <col min="10250" max="10250" width="10.42578125" style="262" customWidth="1"/>
    <col min="10251" max="10251" width="7.85546875" style="262" customWidth="1"/>
    <col min="10252" max="10252" width="8.85546875" style="262" customWidth="1"/>
    <col min="10253" max="10253" width="8.42578125" style="262" customWidth="1"/>
    <col min="10254" max="10254" width="4.42578125" style="262" customWidth="1"/>
    <col min="10255" max="10256" width="4.140625" style="262" customWidth="1"/>
    <col min="10257" max="10257" width="6.85546875" style="262" customWidth="1"/>
    <col min="10258" max="10258" width="4.140625" style="262" customWidth="1"/>
    <col min="10259" max="10264" width="4.42578125" style="262" customWidth="1"/>
    <col min="10265" max="10265" width="7" style="262" customWidth="1"/>
    <col min="10266" max="10266" width="0" style="262" hidden="1" customWidth="1"/>
    <col min="10267" max="10270" width="3.5703125" style="262" customWidth="1"/>
    <col min="10271" max="10272" width="3.5703125" style="262"/>
    <col min="10273" max="10274" width="0" style="262" hidden="1" customWidth="1"/>
    <col min="10275" max="10281" width="3.5703125" style="262"/>
    <col min="10282" max="10282" width="5.5703125" style="262" bestFit="1" customWidth="1"/>
    <col min="10283" max="10284" width="3.5703125" style="262"/>
    <col min="10285" max="10285" width="6.5703125" style="262" bestFit="1" customWidth="1"/>
    <col min="10286" max="10286" width="3.5703125" style="262"/>
    <col min="10287" max="10287" width="5.5703125" style="262" bestFit="1" customWidth="1"/>
    <col min="10288" max="10499" width="3.5703125" style="262"/>
    <col min="10500" max="10500" width="11.42578125" style="262" customWidth="1"/>
    <col min="10501" max="10501" width="1.85546875" style="262" customWidth="1"/>
    <col min="10502" max="10505" width="5.42578125" style="262" customWidth="1"/>
    <col min="10506" max="10506" width="10.42578125" style="262" customWidth="1"/>
    <col min="10507" max="10507" width="7.85546875" style="262" customWidth="1"/>
    <col min="10508" max="10508" width="8.85546875" style="262" customWidth="1"/>
    <col min="10509" max="10509" width="8.42578125" style="262" customWidth="1"/>
    <col min="10510" max="10510" width="4.42578125" style="262" customWidth="1"/>
    <col min="10511" max="10512" width="4.140625" style="262" customWidth="1"/>
    <col min="10513" max="10513" width="6.85546875" style="262" customWidth="1"/>
    <col min="10514" max="10514" width="4.140625" style="262" customWidth="1"/>
    <col min="10515" max="10520" width="4.42578125" style="262" customWidth="1"/>
    <col min="10521" max="10521" width="7" style="262" customWidth="1"/>
    <col min="10522" max="10522" width="0" style="262" hidden="1" customWidth="1"/>
    <col min="10523" max="10526" width="3.5703125" style="262" customWidth="1"/>
    <col min="10527" max="10528" width="3.5703125" style="262"/>
    <col min="10529" max="10530" width="0" style="262" hidden="1" customWidth="1"/>
    <col min="10531" max="10537" width="3.5703125" style="262"/>
    <col min="10538" max="10538" width="5.5703125" style="262" bestFit="1" customWidth="1"/>
    <col min="10539" max="10540" width="3.5703125" style="262"/>
    <col min="10541" max="10541" width="6.5703125" style="262" bestFit="1" customWidth="1"/>
    <col min="10542" max="10542" width="3.5703125" style="262"/>
    <col min="10543" max="10543" width="5.5703125" style="262" bestFit="1" customWidth="1"/>
    <col min="10544" max="10755" width="3.5703125" style="262"/>
    <col min="10756" max="10756" width="11.42578125" style="262" customWidth="1"/>
    <col min="10757" max="10757" width="1.85546875" style="262" customWidth="1"/>
    <col min="10758" max="10761" width="5.42578125" style="262" customWidth="1"/>
    <col min="10762" max="10762" width="10.42578125" style="262" customWidth="1"/>
    <col min="10763" max="10763" width="7.85546875" style="262" customWidth="1"/>
    <col min="10764" max="10764" width="8.85546875" style="262" customWidth="1"/>
    <col min="10765" max="10765" width="8.42578125" style="262" customWidth="1"/>
    <col min="10766" max="10766" width="4.42578125" style="262" customWidth="1"/>
    <col min="10767" max="10768" width="4.140625" style="262" customWidth="1"/>
    <col min="10769" max="10769" width="6.85546875" style="262" customWidth="1"/>
    <col min="10770" max="10770" width="4.140625" style="262" customWidth="1"/>
    <col min="10771" max="10776" width="4.42578125" style="262" customWidth="1"/>
    <col min="10777" max="10777" width="7" style="262" customWidth="1"/>
    <col min="10778" max="10778" width="0" style="262" hidden="1" customWidth="1"/>
    <col min="10779" max="10782" width="3.5703125" style="262" customWidth="1"/>
    <col min="10783" max="10784" width="3.5703125" style="262"/>
    <col min="10785" max="10786" width="0" style="262" hidden="1" customWidth="1"/>
    <col min="10787" max="10793" width="3.5703125" style="262"/>
    <col min="10794" max="10794" width="5.5703125" style="262" bestFit="1" customWidth="1"/>
    <col min="10795" max="10796" width="3.5703125" style="262"/>
    <col min="10797" max="10797" width="6.5703125" style="262" bestFit="1" customWidth="1"/>
    <col min="10798" max="10798" width="3.5703125" style="262"/>
    <col min="10799" max="10799" width="5.5703125" style="262" bestFit="1" customWidth="1"/>
    <col min="10800" max="11011" width="3.5703125" style="262"/>
    <col min="11012" max="11012" width="11.42578125" style="262" customWidth="1"/>
    <col min="11013" max="11013" width="1.85546875" style="262" customWidth="1"/>
    <col min="11014" max="11017" width="5.42578125" style="262" customWidth="1"/>
    <col min="11018" max="11018" width="10.42578125" style="262" customWidth="1"/>
    <col min="11019" max="11019" width="7.85546875" style="262" customWidth="1"/>
    <col min="11020" max="11020" width="8.85546875" style="262" customWidth="1"/>
    <col min="11021" max="11021" width="8.42578125" style="262" customWidth="1"/>
    <col min="11022" max="11022" width="4.42578125" style="262" customWidth="1"/>
    <col min="11023" max="11024" width="4.140625" style="262" customWidth="1"/>
    <col min="11025" max="11025" width="6.85546875" style="262" customWidth="1"/>
    <col min="11026" max="11026" width="4.140625" style="262" customWidth="1"/>
    <col min="11027" max="11032" width="4.42578125" style="262" customWidth="1"/>
    <col min="11033" max="11033" width="7" style="262" customWidth="1"/>
    <col min="11034" max="11034" width="0" style="262" hidden="1" customWidth="1"/>
    <col min="11035" max="11038" width="3.5703125" style="262" customWidth="1"/>
    <col min="11039" max="11040" width="3.5703125" style="262"/>
    <col min="11041" max="11042" width="0" style="262" hidden="1" customWidth="1"/>
    <col min="11043" max="11049" width="3.5703125" style="262"/>
    <col min="11050" max="11050" width="5.5703125" style="262" bestFit="1" customWidth="1"/>
    <col min="11051" max="11052" width="3.5703125" style="262"/>
    <col min="11053" max="11053" width="6.5703125" style="262" bestFit="1" customWidth="1"/>
    <col min="11054" max="11054" width="3.5703125" style="262"/>
    <col min="11055" max="11055" width="5.5703125" style="262" bestFit="1" customWidth="1"/>
    <col min="11056" max="11267" width="3.5703125" style="262"/>
    <col min="11268" max="11268" width="11.42578125" style="262" customWidth="1"/>
    <col min="11269" max="11269" width="1.85546875" style="262" customWidth="1"/>
    <col min="11270" max="11273" width="5.42578125" style="262" customWidth="1"/>
    <col min="11274" max="11274" width="10.42578125" style="262" customWidth="1"/>
    <col min="11275" max="11275" width="7.85546875" style="262" customWidth="1"/>
    <col min="11276" max="11276" width="8.85546875" style="262" customWidth="1"/>
    <col min="11277" max="11277" width="8.42578125" style="262" customWidth="1"/>
    <col min="11278" max="11278" width="4.42578125" style="262" customWidth="1"/>
    <col min="11279" max="11280" width="4.140625" style="262" customWidth="1"/>
    <col min="11281" max="11281" width="6.85546875" style="262" customWidth="1"/>
    <col min="11282" max="11282" width="4.140625" style="262" customWidth="1"/>
    <col min="11283" max="11288" width="4.42578125" style="262" customWidth="1"/>
    <col min="11289" max="11289" width="7" style="262" customWidth="1"/>
    <col min="11290" max="11290" width="0" style="262" hidden="1" customWidth="1"/>
    <col min="11291" max="11294" width="3.5703125" style="262" customWidth="1"/>
    <col min="11295" max="11296" width="3.5703125" style="262"/>
    <col min="11297" max="11298" width="0" style="262" hidden="1" customWidth="1"/>
    <col min="11299" max="11305" width="3.5703125" style="262"/>
    <col min="11306" max="11306" width="5.5703125" style="262" bestFit="1" customWidth="1"/>
    <col min="11307" max="11308" width="3.5703125" style="262"/>
    <col min="11309" max="11309" width="6.5703125" style="262" bestFit="1" customWidth="1"/>
    <col min="11310" max="11310" width="3.5703125" style="262"/>
    <col min="11311" max="11311" width="5.5703125" style="262" bestFit="1" customWidth="1"/>
    <col min="11312" max="11523" width="3.5703125" style="262"/>
    <col min="11524" max="11524" width="11.42578125" style="262" customWidth="1"/>
    <col min="11525" max="11525" width="1.85546875" style="262" customWidth="1"/>
    <col min="11526" max="11529" width="5.42578125" style="262" customWidth="1"/>
    <col min="11530" max="11530" width="10.42578125" style="262" customWidth="1"/>
    <col min="11531" max="11531" width="7.85546875" style="262" customWidth="1"/>
    <col min="11532" max="11532" width="8.85546875" style="262" customWidth="1"/>
    <col min="11533" max="11533" width="8.42578125" style="262" customWidth="1"/>
    <col min="11534" max="11534" width="4.42578125" style="262" customWidth="1"/>
    <col min="11535" max="11536" width="4.140625" style="262" customWidth="1"/>
    <col min="11537" max="11537" width="6.85546875" style="262" customWidth="1"/>
    <col min="11538" max="11538" width="4.140625" style="262" customWidth="1"/>
    <col min="11539" max="11544" width="4.42578125" style="262" customWidth="1"/>
    <col min="11545" max="11545" width="7" style="262" customWidth="1"/>
    <col min="11546" max="11546" width="0" style="262" hidden="1" customWidth="1"/>
    <col min="11547" max="11550" width="3.5703125" style="262" customWidth="1"/>
    <col min="11551" max="11552" width="3.5703125" style="262"/>
    <col min="11553" max="11554" width="0" style="262" hidden="1" customWidth="1"/>
    <col min="11555" max="11561" width="3.5703125" style="262"/>
    <col min="11562" max="11562" width="5.5703125" style="262" bestFit="1" customWidth="1"/>
    <col min="11563" max="11564" width="3.5703125" style="262"/>
    <col min="11565" max="11565" width="6.5703125" style="262" bestFit="1" customWidth="1"/>
    <col min="11566" max="11566" width="3.5703125" style="262"/>
    <col min="11567" max="11567" width="5.5703125" style="262" bestFit="1" customWidth="1"/>
    <col min="11568" max="11779" width="3.5703125" style="262"/>
    <col min="11780" max="11780" width="11.42578125" style="262" customWidth="1"/>
    <col min="11781" max="11781" width="1.85546875" style="262" customWidth="1"/>
    <col min="11782" max="11785" width="5.42578125" style="262" customWidth="1"/>
    <col min="11786" max="11786" width="10.42578125" style="262" customWidth="1"/>
    <col min="11787" max="11787" width="7.85546875" style="262" customWidth="1"/>
    <col min="11788" max="11788" width="8.85546875" style="262" customWidth="1"/>
    <col min="11789" max="11789" width="8.42578125" style="262" customWidth="1"/>
    <col min="11790" max="11790" width="4.42578125" style="262" customWidth="1"/>
    <col min="11791" max="11792" width="4.140625" style="262" customWidth="1"/>
    <col min="11793" max="11793" width="6.85546875" style="262" customWidth="1"/>
    <col min="11794" max="11794" width="4.140625" style="262" customWidth="1"/>
    <col min="11795" max="11800" width="4.42578125" style="262" customWidth="1"/>
    <col min="11801" max="11801" width="7" style="262" customWidth="1"/>
    <col min="11802" max="11802" width="0" style="262" hidden="1" customWidth="1"/>
    <col min="11803" max="11806" width="3.5703125" style="262" customWidth="1"/>
    <col min="11807" max="11808" width="3.5703125" style="262"/>
    <col min="11809" max="11810" width="0" style="262" hidden="1" customWidth="1"/>
    <col min="11811" max="11817" width="3.5703125" style="262"/>
    <col min="11818" max="11818" width="5.5703125" style="262" bestFit="1" customWidth="1"/>
    <col min="11819" max="11820" width="3.5703125" style="262"/>
    <col min="11821" max="11821" width="6.5703125" style="262" bestFit="1" customWidth="1"/>
    <col min="11822" max="11822" width="3.5703125" style="262"/>
    <col min="11823" max="11823" width="5.5703125" style="262" bestFit="1" customWidth="1"/>
    <col min="11824" max="12035" width="3.5703125" style="262"/>
    <col min="12036" max="12036" width="11.42578125" style="262" customWidth="1"/>
    <col min="12037" max="12037" width="1.85546875" style="262" customWidth="1"/>
    <col min="12038" max="12041" width="5.42578125" style="262" customWidth="1"/>
    <col min="12042" max="12042" width="10.42578125" style="262" customWidth="1"/>
    <col min="12043" max="12043" width="7.85546875" style="262" customWidth="1"/>
    <col min="12044" max="12044" width="8.85546875" style="262" customWidth="1"/>
    <col min="12045" max="12045" width="8.42578125" style="262" customWidth="1"/>
    <col min="12046" max="12046" width="4.42578125" style="262" customWidth="1"/>
    <col min="12047" max="12048" width="4.140625" style="262" customWidth="1"/>
    <col min="12049" max="12049" width="6.85546875" style="262" customWidth="1"/>
    <col min="12050" max="12050" width="4.140625" style="262" customWidth="1"/>
    <col min="12051" max="12056" width="4.42578125" style="262" customWidth="1"/>
    <col min="12057" max="12057" width="7" style="262" customWidth="1"/>
    <col min="12058" max="12058" width="0" style="262" hidden="1" customWidth="1"/>
    <col min="12059" max="12062" width="3.5703125" style="262" customWidth="1"/>
    <col min="12063" max="12064" width="3.5703125" style="262"/>
    <col min="12065" max="12066" width="0" style="262" hidden="1" customWidth="1"/>
    <col min="12067" max="12073" width="3.5703125" style="262"/>
    <col min="12074" max="12074" width="5.5703125" style="262" bestFit="1" customWidth="1"/>
    <col min="12075" max="12076" width="3.5703125" style="262"/>
    <col min="12077" max="12077" width="6.5703125" style="262" bestFit="1" customWidth="1"/>
    <col min="12078" max="12078" width="3.5703125" style="262"/>
    <col min="12079" max="12079" width="5.5703125" style="262" bestFit="1" customWidth="1"/>
    <col min="12080" max="12291" width="3.5703125" style="262"/>
    <col min="12292" max="12292" width="11.42578125" style="262" customWidth="1"/>
    <col min="12293" max="12293" width="1.85546875" style="262" customWidth="1"/>
    <col min="12294" max="12297" width="5.42578125" style="262" customWidth="1"/>
    <col min="12298" max="12298" width="10.42578125" style="262" customWidth="1"/>
    <col min="12299" max="12299" width="7.85546875" style="262" customWidth="1"/>
    <col min="12300" max="12300" width="8.85546875" style="262" customWidth="1"/>
    <col min="12301" max="12301" width="8.42578125" style="262" customWidth="1"/>
    <col min="12302" max="12302" width="4.42578125" style="262" customWidth="1"/>
    <col min="12303" max="12304" width="4.140625" style="262" customWidth="1"/>
    <col min="12305" max="12305" width="6.85546875" style="262" customWidth="1"/>
    <col min="12306" max="12306" width="4.140625" style="262" customWidth="1"/>
    <col min="12307" max="12312" width="4.42578125" style="262" customWidth="1"/>
    <col min="12313" max="12313" width="7" style="262" customWidth="1"/>
    <col min="12314" max="12314" width="0" style="262" hidden="1" customWidth="1"/>
    <col min="12315" max="12318" width="3.5703125" style="262" customWidth="1"/>
    <col min="12319" max="12320" width="3.5703125" style="262"/>
    <col min="12321" max="12322" width="0" style="262" hidden="1" customWidth="1"/>
    <col min="12323" max="12329" width="3.5703125" style="262"/>
    <col min="12330" max="12330" width="5.5703125" style="262" bestFit="1" customWidth="1"/>
    <col min="12331" max="12332" width="3.5703125" style="262"/>
    <col min="12333" max="12333" width="6.5703125" style="262" bestFit="1" customWidth="1"/>
    <col min="12334" max="12334" width="3.5703125" style="262"/>
    <col min="12335" max="12335" width="5.5703125" style="262" bestFit="1" customWidth="1"/>
    <col min="12336" max="12547" width="3.5703125" style="262"/>
    <col min="12548" max="12548" width="11.42578125" style="262" customWidth="1"/>
    <col min="12549" max="12549" width="1.85546875" style="262" customWidth="1"/>
    <col min="12550" max="12553" width="5.42578125" style="262" customWidth="1"/>
    <col min="12554" max="12554" width="10.42578125" style="262" customWidth="1"/>
    <col min="12555" max="12555" width="7.85546875" style="262" customWidth="1"/>
    <col min="12556" max="12556" width="8.85546875" style="262" customWidth="1"/>
    <col min="12557" max="12557" width="8.42578125" style="262" customWidth="1"/>
    <col min="12558" max="12558" width="4.42578125" style="262" customWidth="1"/>
    <col min="12559" max="12560" width="4.140625" style="262" customWidth="1"/>
    <col min="12561" max="12561" width="6.85546875" style="262" customWidth="1"/>
    <col min="12562" max="12562" width="4.140625" style="262" customWidth="1"/>
    <col min="12563" max="12568" width="4.42578125" style="262" customWidth="1"/>
    <col min="12569" max="12569" width="7" style="262" customWidth="1"/>
    <col min="12570" max="12570" width="0" style="262" hidden="1" customWidth="1"/>
    <col min="12571" max="12574" width="3.5703125" style="262" customWidth="1"/>
    <col min="12575" max="12576" width="3.5703125" style="262"/>
    <col min="12577" max="12578" width="0" style="262" hidden="1" customWidth="1"/>
    <col min="12579" max="12585" width="3.5703125" style="262"/>
    <col min="12586" max="12586" width="5.5703125" style="262" bestFit="1" customWidth="1"/>
    <col min="12587" max="12588" width="3.5703125" style="262"/>
    <col min="12589" max="12589" width="6.5703125" style="262" bestFit="1" customWidth="1"/>
    <col min="12590" max="12590" width="3.5703125" style="262"/>
    <col min="12591" max="12591" width="5.5703125" style="262" bestFit="1" customWidth="1"/>
    <col min="12592" max="12803" width="3.5703125" style="262"/>
    <col min="12804" max="12804" width="11.42578125" style="262" customWidth="1"/>
    <col min="12805" max="12805" width="1.85546875" style="262" customWidth="1"/>
    <col min="12806" max="12809" width="5.42578125" style="262" customWidth="1"/>
    <col min="12810" max="12810" width="10.42578125" style="262" customWidth="1"/>
    <col min="12811" max="12811" width="7.85546875" style="262" customWidth="1"/>
    <col min="12812" max="12812" width="8.85546875" style="262" customWidth="1"/>
    <col min="12813" max="12813" width="8.42578125" style="262" customWidth="1"/>
    <col min="12814" max="12814" width="4.42578125" style="262" customWidth="1"/>
    <col min="12815" max="12816" width="4.140625" style="262" customWidth="1"/>
    <col min="12817" max="12817" width="6.85546875" style="262" customWidth="1"/>
    <col min="12818" max="12818" width="4.140625" style="262" customWidth="1"/>
    <col min="12819" max="12824" width="4.42578125" style="262" customWidth="1"/>
    <col min="12825" max="12825" width="7" style="262" customWidth="1"/>
    <col min="12826" max="12826" width="0" style="262" hidden="1" customWidth="1"/>
    <col min="12827" max="12830" width="3.5703125" style="262" customWidth="1"/>
    <col min="12831" max="12832" width="3.5703125" style="262"/>
    <col min="12833" max="12834" width="0" style="262" hidden="1" customWidth="1"/>
    <col min="12835" max="12841" width="3.5703125" style="262"/>
    <col min="12842" max="12842" width="5.5703125" style="262" bestFit="1" customWidth="1"/>
    <col min="12843" max="12844" width="3.5703125" style="262"/>
    <col min="12845" max="12845" width="6.5703125" style="262" bestFit="1" customWidth="1"/>
    <col min="12846" max="12846" width="3.5703125" style="262"/>
    <col min="12847" max="12847" width="5.5703125" style="262" bestFit="1" customWidth="1"/>
    <col min="12848" max="13059" width="3.5703125" style="262"/>
    <col min="13060" max="13060" width="11.42578125" style="262" customWidth="1"/>
    <col min="13061" max="13061" width="1.85546875" style="262" customWidth="1"/>
    <col min="13062" max="13065" width="5.42578125" style="262" customWidth="1"/>
    <col min="13066" max="13066" width="10.42578125" style="262" customWidth="1"/>
    <col min="13067" max="13067" width="7.85546875" style="262" customWidth="1"/>
    <col min="13068" max="13068" width="8.85546875" style="262" customWidth="1"/>
    <col min="13069" max="13069" width="8.42578125" style="262" customWidth="1"/>
    <col min="13070" max="13070" width="4.42578125" style="262" customWidth="1"/>
    <col min="13071" max="13072" width="4.140625" style="262" customWidth="1"/>
    <col min="13073" max="13073" width="6.85546875" style="262" customWidth="1"/>
    <col min="13074" max="13074" width="4.140625" style="262" customWidth="1"/>
    <col min="13075" max="13080" width="4.42578125" style="262" customWidth="1"/>
    <col min="13081" max="13081" width="7" style="262" customWidth="1"/>
    <col min="13082" max="13082" width="0" style="262" hidden="1" customWidth="1"/>
    <col min="13083" max="13086" width="3.5703125" style="262" customWidth="1"/>
    <col min="13087" max="13088" width="3.5703125" style="262"/>
    <col min="13089" max="13090" width="0" style="262" hidden="1" customWidth="1"/>
    <col min="13091" max="13097" width="3.5703125" style="262"/>
    <col min="13098" max="13098" width="5.5703125" style="262" bestFit="1" customWidth="1"/>
    <col min="13099" max="13100" width="3.5703125" style="262"/>
    <col min="13101" max="13101" width="6.5703125" style="262" bestFit="1" customWidth="1"/>
    <col min="13102" max="13102" width="3.5703125" style="262"/>
    <col min="13103" max="13103" width="5.5703125" style="262" bestFit="1" customWidth="1"/>
    <col min="13104" max="13315" width="3.5703125" style="262"/>
    <col min="13316" max="13316" width="11.42578125" style="262" customWidth="1"/>
    <col min="13317" max="13317" width="1.85546875" style="262" customWidth="1"/>
    <col min="13318" max="13321" width="5.42578125" style="262" customWidth="1"/>
    <col min="13322" max="13322" width="10.42578125" style="262" customWidth="1"/>
    <col min="13323" max="13323" width="7.85546875" style="262" customWidth="1"/>
    <col min="13324" max="13324" width="8.85546875" style="262" customWidth="1"/>
    <col min="13325" max="13325" width="8.42578125" style="262" customWidth="1"/>
    <col min="13326" max="13326" width="4.42578125" style="262" customWidth="1"/>
    <col min="13327" max="13328" width="4.140625" style="262" customWidth="1"/>
    <col min="13329" max="13329" width="6.85546875" style="262" customWidth="1"/>
    <col min="13330" max="13330" width="4.140625" style="262" customWidth="1"/>
    <col min="13331" max="13336" width="4.42578125" style="262" customWidth="1"/>
    <col min="13337" max="13337" width="7" style="262" customWidth="1"/>
    <col min="13338" max="13338" width="0" style="262" hidden="1" customWidth="1"/>
    <col min="13339" max="13342" width="3.5703125" style="262" customWidth="1"/>
    <col min="13343" max="13344" width="3.5703125" style="262"/>
    <col min="13345" max="13346" width="0" style="262" hidden="1" customWidth="1"/>
    <col min="13347" max="13353" width="3.5703125" style="262"/>
    <col min="13354" max="13354" width="5.5703125" style="262" bestFit="1" customWidth="1"/>
    <col min="13355" max="13356" width="3.5703125" style="262"/>
    <col min="13357" max="13357" width="6.5703125" style="262" bestFit="1" customWidth="1"/>
    <col min="13358" max="13358" width="3.5703125" style="262"/>
    <col min="13359" max="13359" width="5.5703125" style="262" bestFit="1" customWidth="1"/>
    <col min="13360" max="13571" width="3.5703125" style="262"/>
    <col min="13572" max="13572" width="11.42578125" style="262" customWidth="1"/>
    <col min="13573" max="13573" width="1.85546875" style="262" customWidth="1"/>
    <col min="13574" max="13577" width="5.42578125" style="262" customWidth="1"/>
    <col min="13578" max="13578" width="10.42578125" style="262" customWidth="1"/>
    <col min="13579" max="13579" width="7.85546875" style="262" customWidth="1"/>
    <col min="13580" max="13580" width="8.85546875" style="262" customWidth="1"/>
    <col min="13581" max="13581" width="8.42578125" style="262" customWidth="1"/>
    <col min="13582" max="13582" width="4.42578125" style="262" customWidth="1"/>
    <col min="13583" max="13584" width="4.140625" style="262" customWidth="1"/>
    <col min="13585" max="13585" width="6.85546875" style="262" customWidth="1"/>
    <col min="13586" max="13586" width="4.140625" style="262" customWidth="1"/>
    <col min="13587" max="13592" width="4.42578125" style="262" customWidth="1"/>
    <col min="13593" max="13593" width="7" style="262" customWidth="1"/>
    <col min="13594" max="13594" width="0" style="262" hidden="1" customWidth="1"/>
    <col min="13595" max="13598" width="3.5703125" style="262" customWidth="1"/>
    <col min="13599" max="13600" width="3.5703125" style="262"/>
    <col min="13601" max="13602" width="0" style="262" hidden="1" customWidth="1"/>
    <col min="13603" max="13609" width="3.5703125" style="262"/>
    <col min="13610" max="13610" width="5.5703125" style="262" bestFit="1" customWidth="1"/>
    <col min="13611" max="13612" width="3.5703125" style="262"/>
    <col min="13613" max="13613" width="6.5703125" style="262" bestFit="1" customWidth="1"/>
    <col min="13614" max="13614" width="3.5703125" style="262"/>
    <col min="13615" max="13615" width="5.5703125" style="262" bestFit="1" customWidth="1"/>
    <col min="13616" max="13827" width="3.5703125" style="262"/>
    <col min="13828" max="13828" width="11.42578125" style="262" customWidth="1"/>
    <col min="13829" max="13829" width="1.85546875" style="262" customWidth="1"/>
    <col min="13830" max="13833" width="5.42578125" style="262" customWidth="1"/>
    <col min="13834" max="13834" width="10.42578125" style="262" customWidth="1"/>
    <col min="13835" max="13835" width="7.85546875" style="262" customWidth="1"/>
    <col min="13836" max="13836" width="8.85546875" style="262" customWidth="1"/>
    <col min="13837" max="13837" width="8.42578125" style="262" customWidth="1"/>
    <col min="13838" max="13838" width="4.42578125" style="262" customWidth="1"/>
    <col min="13839" max="13840" width="4.140625" style="262" customWidth="1"/>
    <col min="13841" max="13841" width="6.85546875" style="262" customWidth="1"/>
    <col min="13842" max="13842" width="4.140625" style="262" customWidth="1"/>
    <col min="13843" max="13848" width="4.42578125" style="262" customWidth="1"/>
    <col min="13849" max="13849" width="7" style="262" customWidth="1"/>
    <col min="13850" max="13850" width="0" style="262" hidden="1" customWidth="1"/>
    <col min="13851" max="13854" width="3.5703125" style="262" customWidth="1"/>
    <col min="13855" max="13856" width="3.5703125" style="262"/>
    <col min="13857" max="13858" width="0" style="262" hidden="1" customWidth="1"/>
    <col min="13859" max="13865" width="3.5703125" style="262"/>
    <col min="13866" max="13866" width="5.5703125" style="262" bestFit="1" customWidth="1"/>
    <col min="13867" max="13868" width="3.5703125" style="262"/>
    <col min="13869" max="13869" width="6.5703125" style="262" bestFit="1" customWidth="1"/>
    <col min="13870" max="13870" width="3.5703125" style="262"/>
    <col min="13871" max="13871" width="5.5703125" style="262" bestFit="1" customWidth="1"/>
    <col min="13872" max="14083" width="3.5703125" style="262"/>
    <col min="14084" max="14084" width="11.42578125" style="262" customWidth="1"/>
    <col min="14085" max="14085" width="1.85546875" style="262" customWidth="1"/>
    <col min="14086" max="14089" width="5.42578125" style="262" customWidth="1"/>
    <col min="14090" max="14090" width="10.42578125" style="262" customWidth="1"/>
    <col min="14091" max="14091" width="7.85546875" style="262" customWidth="1"/>
    <col min="14092" max="14092" width="8.85546875" style="262" customWidth="1"/>
    <col min="14093" max="14093" width="8.42578125" style="262" customWidth="1"/>
    <col min="14094" max="14094" width="4.42578125" style="262" customWidth="1"/>
    <col min="14095" max="14096" width="4.140625" style="262" customWidth="1"/>
    <col min="14097" max="14097" width="6.85546875" style="262" customWidth="1"/>
    <col min="14098" max="14098" width="4.140625" style="262" customWidth="1"/>
    <col min="14099" max="14104" width="4.42578125" style="262" customWidth="1"/>
    <col min="14105" max="14105" width="7" style="262" customWidth="1"/>
    <col min="14106" max="14106" width="0" style="262" hidden="1" customWidth="1"/>
    <col min="14107" max="14110" width="3.5703125" style="262" customWidth="1"/>
    <col min="14111" max="14112" width="3.5703125" style="262"/>
    <col min="14113" max="14114" width="0" style="262" hidden="1" customWidth="1"/>
    <col min="14115" max="14121" width="3.5703125" style="262"/>
    <col min="14122" max="14122" width="5.5703125" style="262" bestFit="1" customWidth="1"/>
    <col min="14123" max="14124" width="3.5703125" style="262"/>
    <col min="14125" max="14125" width="6.5703125" style="262" bestFit="1" customWidth="1"/>
    <col min="14126" max="14126" width="3.5703125" style="262"/>
    <col min="14127" max="14127" width="5.5703125" style="262" bestFit="1" customWidth="1"/>
    <col min="14128" max="14339" width="3.5703125" style="262"/>
    <col min="14340" max="14340" width="11.42578125" style="262" customWidth="1"/>
    <col min="14341" max="14341" width="1.85546875" style="262" customWidth="1"/>
    <col min="14342" max="14345" width="5.42578125" style="262" customWidth="1"/>
    <col min="14346" max="14346" width="10.42578125" style="262" customWidth="1"/>
    <col min="14347" max="14347" width="7.85546875" style="262" customWidth="1"/>
    <col min="14348" max="14348" width="8.85546875" style="262" customWidth="1"/>
    <col min="14349" max="14349" width="8.42578125" style="262" customWidth="1"/>
    <col min="14350" max="14350" width="4.42578125" style="262" customWidth="1"/>
    <col min="14351" max="14352" width="4.140625" style="262" customWidth="1"/>
    <col min="14353" max="14353" width="6.85546875" style="262" customWidth="1"/>
    <col min="14354" max="14354" width="4.140625" style="262" customWidth="1"/>
    <col min="14355" max="14360" width="4.42578125" style="262" customWidth="1"/>
    <col min="14361" max="14361" width="7" style="262" customWidth="1"/>
    <col min="14362" max="14362" width="0" style="262" hidden="1" customWidth="1"/>
    <col min="14363" max="14366" width="3.5703125" style="262" customWidth="1"/>
    <col min="14367" max="14368" width="3.5703125" style="262"/>
    <col min="14369" max="14370" width="0" style="262" hidden="1" customWidth="1"/>
    <col min="14371" max="14377" width="3.5703125" style="262"/>
    <col min="14378" max="14378" width="5.5703125" style="262" bestFit="1" customWidth="1"/>
    <col min="14379" max="14380" width="3.5703125" style="262"/>
    <col min="14381" max="14381" width="6.5703125" style="262" bestFit="1" customWidth="1"/>
    <col min="14382" max="14382" width="3.5703125" style="262"/>
    <col min="14383" max="14383" width="5.5703125" style="262" bestFit="1" customWidth="1"/>
    <col min="14384" max="14595" width="3.5703125" style="262"/>
    <col min="14596" max="14596" width="11.42578125" style="262" customWidth="1"/>
    <col min="14597" max="14597" width="1.85546875" style="262" customWidth="1"/>
    <col min="14598" max="14601" width="5.42578125" style="262" customWidth="1"/>
    <col min="14602" max="14602" width="10.42578125" style="262" customWidth="1"/>
    <col min="14603" max="14603" width="7.85546875" style="262" customWidth="1"/>
    <col min="14604" max="14604" width="8.85546875" style="262" customWidth="1"/>
    <col min="14605" max="14605" width="8.42578125" style="262" customWidth="1"/>
    <col min="14606" max="14606" width="4.42578125" style="262" customWidth="1"/>
    <col min="14607" max="14608" width="4.140625" style="262" customWidth="1"/>
    <col min="14609" max="14609" width="6.85546875" style="262" customWidth="1"/>
    <col min="14610" max="14610" width="4.140625" style="262" customWidth="1"/>
    <col min="14611" max="14616" width="4.42578125" style="262" customWidth="1"/>
    <col min="14617" max="14617" width="7" style="262" customWidth="1"/>
    <col min="14618" max="14618" width="0" style="262" hidden="1" customWidth="1"/>
    <col min="14619" max="14622" width="3.5703125" style="262" customWidth="1"/>
    <col min="14623" max="14624" width="3.5703125" style="262"/>
    <col min="14625" max="14626" width="0" style="262" hidden="1" customWidth="1"/>
    <col min="14627" max="14633" width="3.5703125" style="262"/>
    <col min="14634" max="14634" width="5.5703125" style="262" bestFit="1" customWidth="1"/>
    <col min="14635" max="14636" width="3.5703125" style="262"/>
    <col min="14637" max="14637" width="6.5703125" style="262" bestFit="1" customWidth="1"/>
    <col min="14638" max="14638" width="3.5703125" style="262"/>
    <col min="14639" max="14639" width="5.5703125" style="262" bestFit="1" customWidth="1"/>
    <col min="14640" max="14851" width="3.5703125" style="262"/>
    <col min="14852" max="14852" width="11.42578125" style="262" customWidth="1"/>
    <col min="14853" max="14853" width="1.85546875" style="262" customWidth="1"/>
    <col min="14854" max="14857" width="5.42578125" style="262" customWidth="1"/>
    <col min="14858" max="14858" width="10.42578125" style="262" customWidth="1"/>
    <col min="14859" max="14859" width="7.85546875" style="262" customWidth="1"/>
    <col min="14860" max="14860" width="8.85546875" style="262" customWidth="1"/>
    <col min="14861" max="14861" width="8.42578125" style="262" customWidth="1"/>
    <col min="14862" max="14862" width="4.42578125" style="262" customWidth="1"/>
    <col min="14863" max="14864" width="4.140625" style="262" customWidth="1"/>
    <col min="14865" max="14865" width="6.85546875" style="262" customWidth="1"/>
    <col min="14866" max="14866" width="4.140625" style="262" customWidth="1"/>
    <col min="14867" max="14872" width="4.42578125" style="262" customWidth="1"/>
    <col min="14873" max="14873" width="7" style="262" customWidth="1"/>
    <col min="14874" max="14874" width="0" style="262" hidden="1" customWidth="1"/>
    <col min="14875" max="14878" width="3.5703125" style="262" customWidth="1"/>
    <col min="14879" max="14880" width="3.5703125" style="262"/>
    <col min="14881" max="14882" width="0" style="262" hidden="1" customWidth="1"/>
    <col min="14883" max="14889" width="3.5703125" style="262"/>
    <col min="14890" max="14890" width="5.5703125" style="262" bestFit="1" customWidth="1"/>
    <col min="14891" max="14892" width="3.5703125" style="262"/>
    <col min="14893" max="14893" width="6.5703125" style="262" bestFit="1" customWidth="1"/>
    <col min="14894" max="14894" width="3.5703125" style="262"/>
    <col min="14895" max="14895" width="5.5703125" style="262" bestFit="1" customWidth="1"/>
    <col min="14896" max="15107" width="3.5703125" style="262"/>
    <col min="15108" max="15108" width="11.42578125" style="262" customWidth="1"/>
    <col min="15109" max="15109" width="1.85546875" style="262" customWidth="1"/>
    <col min="15110" max="15113" width="5.42578125" style="262" customWidth="1"/>
    <col min="15114" max="15114" width="10.42578125" style="262" customWidth="1"/>
    <col min="15115" max="15115" width="7.85546875" style="262" customWidth="1"/>
    <col min="15116" max="15116" width="8.85546875" style="262" customWidth="1"/>
    <col min="15117" max="15117" width="8.42578125" style="262" customWidth="1"/>
    <col min="15118" max="15118" width="4.42578125" style="262" customWidth="1"/>
    <col min="15119" max="15120" width="4.140625" style="262" customWidth="1"/>
    <col min="15121" max="15121" width="6.85546875" style="262" customWidth="1"/>
    <col min="15122" max="15122" width="4.140625" style="262" customWidth="1"/>
    <col min="15123" max="15128" width="4.42578125" style="262" customWidth="1"/>
    <col min="15129" max="15129" width="7" style="262" customWidth="1"/>
    <col min="15130" max="15130" width="0" style="262" hidden="1" customWidth="1"/>
    <col min="15131" max="15134" width="3.5703125" style="262" customWidth="1"/>
    <col min="15135" max="15136" width="3.5703125" style="262"/>
    <col min="15137" max="15138" width="0" style="262" hidden="1" customWidth="1"/>
    <col min="15139" max="15145" width="3.5703125" style="262"/>
    <col min="15146" max="15146" width="5.5703125" style="262" bestFit="1" customWidth="1"/>
    <col min="15147" max="15148" width="3.5703125" style="262"/>
    <col min="15149" max="15149" width="6.5703125" style="262" bestFit="1" customWidth="1"/>
    <col min="15150" max="15150" width="3.5703125" style="262"/>
    <col min="15151" max="15151" width="5.5703125" style="262" bestFit="1" customWidth="1"/>
    <col min="15152" max="15363" width="3.5703125" style="262"/>
    <col min="15364" max="15364" width="11.42578125" style="262" customWidth="1"/>
    <col min="15365" max="15365" width="1.85546875" style="262" customWidth="1"/>
    <col min="15366" max="15369" width="5.42578125" style="262" customWidth="1"/>
    <col min="15370" max="15370" width="10.42578125" style="262" customWidth="1"/>
    <col min="15371" max="15371" width="7.85546875" style="262" customWidth="1"/>
    <col min="15372" max="15372" width="8.85546875" style="262" customWidth="1"/>
    <col min="15373" max="15373" width="8.42578125" style="262" customWidth="1"/>
    <col min="15374" max="15374" width="4.42578125" style="262" customWidth="1"/>
    <col min="15375" max="15376" width="4.140625" style="262" customWidth="1"/>
    <col min="15377" max="15377" width="6.85546875" style="262" customWidth="1"/>
    <col min="15378" max="15378" width="4.140625" style="262" customWidth="1"/>
    <col min="15379" max="15384" width="4.42578125" style="262" customWidth="1"/>
    <col min="15385" max="15385" width="7" style="262" customWidth="1"/>
    <col min="15386" max="15386" width="0" style="262" hidden="1" customWidth="1"/>
    <col min="15387" max="15390" width="3.5703125" style="262" customWidth="1"/>
    <col min="15391" max="15392" width="3.5703125" style="262"/>
    <col min="15393" max="15394" width="0" style="262" hidden="1" customWidth="1"/>
    <col min="15395" max="15401" width="3.5703125" style="262"/>
    <col min="15402" max="15402" width="5.5703125" style="262" bestFit="1" customWidth="1"/>
    <col min="15403" max="15404" width="3.5703125" style="262"/>
    <col min="15405" max="15405" width="6.5703125" style="262" bestFit="1" customWidth="1"/>
    <col min="15406" max="15406" width="3.5703125" style="262"/>
    <col min="15407" max="15407" width="5.5703125" style="262" bestFit="1" customWidth="1"/>
    <col min="15408" max="15619" width="3.5703125" style="262"/>
    <col min="15620" max="15620" width="11.42578125" style="262" customWidth="1"/>
    <col min="15621" max="15621" width="1.85546875" style="262" customWidth="1"/>
    <col min="15622" max="15625" width="5.42578125" style="262" customWidth="1"/>
    <col min="15626" max="15626" width="10.42578125" style="262" customWidth="1"/>
    <col min="15627" max="15627" width="7.85546875" style="262" customWidth="1"/>
    <col min="15628" max="15628" width="8.85546875" style="262" customWidth="1"/>
    <col min="15629" max="15629" width="8.42578125" style="262" customWidth="1"/>
    <col min="15630" max="15630" width="4.42578125" style="262" customWidth="1"/>
    <col min="15631" max="15632" width="4.140625" style="262" customWidth="1"/>
    <col min="15633" max="15633" width="6.85546875" style="262" customWidth="1"/>
    <col min="15634" max="15634" width="4.140625" style="262" customWidth="1"/>
    <col min="15635" max="15640" width="4.42578125" style="262" customWidth="1"/>
    <col min="15641" max="15641" width="7" style="262" customWidth="1"/>
    <col min="15642" max="15642" width="0" style="262" hidden="1" customWidth="1"/>
    <col min="15643" max="15646" width="3.5703125" style="262" customWidth="1"/>
    <col min="15647" max="15648" width="3.5703125" style="262"/>
    <col min="15649" max="15650" width="0" style="262" hidden="1" customWidth="1"/>
    <col min="15651" max="15657" width="3.5703125" style="262"/>
    <col min="15658" max="15658" width="5.5703125" style="262" bestFit="1" customWidth="1"/>
    <col min="15659" max="15660" width="3.5703125" style="262"/>
    <col min="15661" max="15661" width="6.5703125" style="262" bestFit="1" customWidth="1"/>
    <col min="15662" max="15662" width="3.5703125" style="262"/>
    <col min="15663" max="15663" width="5.5703125" style="262" bestFit="1" customWidth="1"/>
    <col min="15664" max="15875" width="3.5703125" style="262"/>
    <col min="15876" max="15876" width="11.42578125" style="262" customWidth="1"/>
    <col min="15877" max="15877" width="1.85546875" style="262" customWidth="1"/>
    <col min="15878" max="15881" width="5.42578125" style="262" customWidth="1"/>
    <col min="15882" max="15882" width="10.42578125" style="262" customWidth="1"/>
    <col min="15883" max="15883" width="7.85546875" style="262" customWidth="1"/>
    <col min="15884" max="15884" width="8.85546875" style="262" customWidth="1"/>
    <col min="15885" max="15885" width="8.42578125" style="262" customWidth="1"/>
    <col min="15886" max="15886" width="4.42578125" style="262" customWidth="1"/>
    <col min="15887" max="15888" width="4.140625" style="262" customWidth="1"/>
    <col min="15889" max="15889" width="6.85546875" style="262" customWidth="1"/>
    <col min="15890" max="15890" width="4.140625" style="262" customWidth="1"/>
    <col min="15891" max="15896" width="4.42578125" style="262" customWidth="1"/>
    <col min="15897" max="15897" width="7" style="262" customWidth="1"/>
    <col min="15898" max="15898" width="0" style="262" hidden="1" customWidth="1"/>
    <col min="15899" max="15902" width="3.5703125" style="262" customWidth="1"/>
    <col min="15903" max="15904" width="3.5703125" style="262"/>
    <col min="15905" max="15906" width="0" style="262" hidden="1" customWidth="1"/>
    <col min="15907" max="15913" width="3.5703125" style="262"/>
    <col min="15914" max="15914" width="5.5703125" style="262" bestFit="1" customWidth="1"/>
    <col min="15915" max="15916" width="3.5703125" style="262"/>
    <col min="15917" max="15917" width="6.5703125" style="262" bestFit="1" customWidth="1"/>
    <col min="15918" max="15918" width="3.5703125" style="262"/>
    <col min="15919" max="15919" width="5.5703125" style="262" bestFit="1" customWidth="1"/>
    <col min="15920" max="16131" width="3.5703125" style="262"/>
    <col min="16132" max="16132" width="11.42578125" style="262" customWidth="1"/>
    <col min="16133" max="16133" width="1.85546875" style="262" customWidth="1"/>
    <col min="16134" max="16137" width="5.42578125" style="262" customWidth="1"/>
    <col min="16138" max="16138" width="10.42578125" style="262" customWidth="1"/>
    <col min="16139" max="16139" width="7.85546875" style="262" customWidth="1"/>
    <col min="16140" max="16140" width="8.85546875" style="262" customWidth="1"/>
    <col min="16141" max="16141" width="8.42578125" style="262" customWidth="1"/>
    <col min="16142" max="16142" width="4.42578125" style="262" customWidth="1"/>
    <col min="16143" max="16144" width="4.140625" style="262" customWidth="1"/>
    <col min="16145" max="16145" width="6.85546875" style="262" customWidth="1"/>
    <col min="16146" max="16146" width="4.140625" style="262" customWidth="1"/>
    <col min="16147" max="16152" width="4.42578125" style="262" customWidth="1"/>
    <col min="16153" max="16153" width="7" style="262" customWidth="1"/>
    <col min="16154" max="16154" width="0" style="262" hidden="1" customWidth="1"/>
    <col min="16155" max="16158" width="3.5703125" style="262" customWidth="1"/>
    <col min="16159" max="16160" width="3.5703125" style="262"/>
    <col min="16161" max="16162" width="0" style="262" hidden="1" customWidth="1"/>
    <col min="16163" max="16169" width="3.5703125" style="262"/>
    <col min="16170" max="16170" width="5.5703125" style="262" bestFit="1" customWidth="1"/>
    <col min="16171" max="16172" width="3.5703125" style="262"/>
    <col min="16173" max="16173" width="6.5703125" style="262" bestFit="1" customWidth="1"/>
    <col min="16174" max="16174" width="3.5703125" style="262"/>
    <col min="16175" max="16175" width="5.5703125" style="262" bestFit="1" customWidth="1"/>
    <col min="16176" max="16384" width="3.5703125" style="262"/>
  </cols>
  <sheetData>
    <row r="1" spans="2:36" s="7" customFormat="1" ht="9.9499999999999993" customHeight="1" x14ac:dyDescent="0.25">
      <c r="B1" s="584" t="s">
        <v>302</v>
      </c>
      <c r="C1" s="610"/>
      <c r="D1" s="610"/>
      <c r="E1" s="610"/>
      <c r="F1" s="610"/>
      <c r="G1" s="610"/>
      <c r="H1" s="610"/>
      <c r="I1" s="610"/>
      <c r="J1" s="610"/>
      <c r="K1" s="610"/>
      <c r="L1" s="610"/>
      <c r="M1" s="610"/>
      <c r="N1" s="610"/>
      <c r="O1" s="610"/>
      <c r="P1" s="610"/>
      <c r="Q1" s="610"/>
      <c r="R1" s="610"/>
      <c r="S1" s="610"/>
      <c r="T1" s="610"/>
      <c r="U1" s="610"/>
      <c r="V1" s="610"/>
      <c r="W1" s="610"/>
      <c r="X1" s="610"/>
      <c r="Y1" s="610"/>
      <c r="AB1" s="263"/>
      <c r="AC1" s="263"/>
      <c r="AD1" s="263"/>
      <c r="AE1" s="263"/>
      <c r="AF1" s="263"/>
      <c r="AG1" s="263"/>
      <c r="AH1" s="263"/>
      <c r="AI1" s="263"/>
      <c r="AJ1" s="263"/>
    </row>
    <row r="2" spans="2:36" s="7" customFormat="1" ht="9.9499999999999993" customHeight="1" x14ac:dyDescent="0.25"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610"/>
      <c r="AB2" s="263"/>
      <c r="AC2" s="263"/>
      <c r="AD2" s="263"/>
      <c r="AE2" s="263"/>
      <c r="AF2" s="263"/>
      <c r="AG2" s="263"/>
      <c r="AH2" s="263"/>
      <c r="AI2" s="263"/>
      <c r="AJ2" s="263"/>
    </row>
    <row r="3" spans="2:36" s="7" customFormat="1" ht="9.9499999999999993" customHeight="1" x14ac:dyDescent="0.25"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  <c r="P3" s="610"/>
      <c r="Q3" s="610"/>
      <c r="R3" s="610"/>
      <c r="S3" s="610"/>
      <c r="T3" s="610"/>
      <c r="U3" s="610"/>
      <c r="V3" s="610"/>
      <c r="W3" s="610"/>
      <c r="X3" s="610"/>
      <c r="Y3" s="610"/>
      <c r="AB3" s="263"/>
      <c r="AC3" s="263"/>
      <c r="AD3" s="263"/>
      <c r="AE3" s="263"/>
      <c r="AF3" s="263"/>
      <c r="AG3" s="263"/>
      <c r="AH3" s="263"/>
      <c r="AI3" s="263"/>
      <c r="AJ3" s="263"/>
    </row>
    <row r="4" spans="2:36" s="7" customFormat="1" ht="9.9499999999999993" customHeight="1" x14ac:dyDescent="0.25">
      <c r="B4" s="610"/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610"/>
      <c r="P4" s="610"/>
      <c r="Q4" s="610"/>
      <c r="R4" s="610"/>
      <c r="S4" s="610"/>
      <c r="T4" s="610"/>
      <c r="U4" s="610"/>
      <c r="V4" s="610"/>
      <c r="W4" s="610"/>
      <c r="X4" s="610"/>
      <c r="Y4" s="610"/>
      <c r="AB4" s="263"/>
      <c r="AC4" s="263"/>
      <c r="AD4" s="263"/>
      <c r="AE4" s="263"/>
      <c r="AF4" s="263"/>
      <c r="AG4" s="263"/>
      <c r="AH4" s="263"/>
      <c r="AI4" s="263"/>
      <c r="AJ4" s="263"/>
    </row>
    <row r="5" spans="2:36" s="7" customFormat="1" ht="9.9499999999999993" customHeight="1" x14ac:dyDescent="0.25">
      <c r="B5" s="610"/>
      <c r="C5" s="610"/>
      <c r="D5" s="610"/>
      <c r="E5" s="610"/>
      <c r="F5" s="610"/>
      <c r="G5" s="610"/>
      <c r="H5" s="610"/>
      <c r="I5" s="610"/>
      <c r="J5" s="610"/>
      <c r="K5" s="610"/>
      <c r="L5" s="610"/>
      <c r="M5" s="610"/>
      <c r="N5" s="610"/>
      <c r="O5" s="610"/>
      <c r="P5" s="610"/>
      <c r="Q5" s="610"/>
      <c r="R5" s="610"/>
      <c r="S5" s="610"/>
      <c r="T5" s="610"/>
      <c r="U5" s="610"/>
      <c r="V5" s="610"/>
      <c r="W5" s="610"/>
      <c r="X5" s="610"/>
      <c r="Y5" s="610"/>
      <c r="AB5" s="263"/>
      <c r="AC5" s="263"/>
      <c r="AD5" s="263"/>
      <c r="AE5" s="263"/>
      <c r="AF5" s="263"/>
      <c r="AG5" s="263"/>
      <c r="AH5" s="263"/>
      <c r="AI5" s="263"/>
      <c r="AJ5" s="263"/>
    </row>
    <row r="6" spans="2:36" s="7" customFormat="1" ht="9.9499999999999993" customHeight="1" x14ac:dyDescent="0.25">
      <c r="B6" s="610"/>
      <c r="C6" s="610"/>
      <c r="D6" s="610"/>
      <c r="E6" s="610"/>
      <c r="F6" s="610"/>
      <c r="G6" s="610"/>
      <c r="H6" s="610"/>
      <c r="I6" s="610"/>
      <c r="J6" s="610"/>
      <c r="K6" s="610"/>
      <c r="L6" s="610"/>
      <c r="M6" s="610"/>
      <c r="N6" s="610"/>
      <c r="O6" s="610"/>
      <c r="P6" s="610"/>
      <c r="Q6" s="610"/>
      <c r="R6" s="610"/>
      <c r="S6" s="610"/>
      <c r="T6" s="610"/>
      <c r="U6" s="610"/>
      <c r="V6" s="610"/>
      <c r="W6" s="610"/>
      <c r="X6" s="610"/>
      <c r="Y6" s="610"/>
      <c r="AB6" s="263"/>
      <c r="AC6" s="263"/>
      <c r="AD6" s="263"/>
      <c r="AE6" s="263"/>
      <c r="AF6" s="263"/>
      <c r="AG6" s="263"/>
      <c r="AH6" s="263"/>
      <c r="AI6" s="263"/>
      <c r="AJ6" s="263"/>
    </row>
    <row r="7" spans="2:36" s="7" customFormat="1" ht="15" x14ac:dyDescent="0.25">
      <c r="AB7" s="263"/>
      <c r="AC7" s="263"/>
      <c r="AD7" s="263"/>
      <c r="AE7" s="263"/>
      <c r="AF7" s="263"/>
      <c r="AG7" s="263"/>
      <c r="AH7" s="263"/>
      <c r="AI7" s="263"/>
      <c r="AJ7" s="263"/>
    </row>
    <row r="8" spans="2:36" s="261" customFormat="1" ht="15" customHeight="1" x14ac:dyDescent="0.25">
      <c r="B8" s="8" t="s">
        <v>50</v>
      </c>
      <c r="D8" s="13" t="str">
        <f>'DADOS DA OBRA'!$B$13</f>
        <v>TRIBUNAL REGIONAL ELEITORAL - PIAUÍ</v>
      </c>
      <c r="F8" s="9"/>
      <c r="G8" s="9"/>
      <c r="H8" s="9"/>
      <c r="I8" s="9"/>
      <c r="J8" s="9"/>
      <c r="K8" s="9"/>
      <c r="X8" s="10" t="s">
        <v>51</v>
      </c>
      <c r="Y8" s="11" t="str">
        <f>+'CURVA ABC - SERVIÇOS'!G8</f>
        <v>22/11/2021</v>
      </c>
      <c r="AB8" s="264"/>
      <c r="AC8" s="264"/>
      <c r="AD8" s="264"/>
      <c r="AE8" s="264"/>
      <c r="AF8" s="264"/>
      <c r="AG8" s="264"/>
      <c r="AH8" s="264"/>
      <c r="AI8" s="264"/>
      <c r="AJ8" s="264"/>
    </row>
    <row r="9" spans="2:36" s="261" customFormat="1" ht="15" customHeight="1" x14ac:dyDescent="0.25">
      <c r="B9" s="8" t="s">
        <v>69</v>
      </c>
      <c r="D9" s="13" t="str">
        <f>'DADOS DA OBRA'!$B$16</f>
        <v>ADEQUAÇÃO DE INSTALAÇÕES ELÉTRICAS E CABEAMENTO ESTRUTURADO - EDIFÍCIO SEDE</v>
      </c>
      <c r="F9" s="12"/>
      <c r="G9" s="12"/>
      <c r="H9" s="12"/>
      <c r="I9" s="12"/>
      <c r="J9" s="12"/>
      <c r="K9" s="12"/>
      <c r="X9" s="10" t="s">
        <v>52</v>
      </c>
      <c r="Y9" s="11">
        <f>+'CURVA ABC - SERVIÇOS'!G9</f>
        <v>44733</v>
      </c>
      <c r="AB9" s="264"/>
      <c r="AC9" s="264"/>
      <c r="AD9" s="264"/>
      <c r="AE9" s="264"/>
      <c r="AF9" s="264"/>
      <c r="AG9" s="264"/>
      <c r="AH9" s="264"/>
      <c r="AI9" s="264"/>
      <c r="AJ9" s="264"/>
    </row>
    <row r="10" spans="2:36" s="261" customFormat="1" ht="15" customHeight="1" x14ac:dyDescent="0.25">
      <c r="B10" s="8" t="s">
        <v>53</v>
      </c>
      <c r="D10" s="13" t="str">
        <f>+""&amp;'DADOS DA OBRA'!$B$19&amp;", "&amp;'DADOS DA OBRA'!$J$22&amp;", "&amp;'DADOS DA OBRA'!$P$22</f>
        <v>PRAÇA EDGAR NOGUEIRA, TERESINA, PI</v>
      </c>
      <c r="F10" s="12"/>
      <c r="G10" s="12"/>
      <c r="H10" s="12"/>
      <c r="I10" s="12"/>
      <c r="J10" s="12"/>
      <c r="K10" s="12"/>
      <c r="X10" s="10" t="s">
        <v>71</v>
      </c>
      <c r="Y10" s="294">
        <f>+'CURVA ABC - SERVIÇOS'!J8</f>
        <v>1.1186</v>
      </c>
      <c r="AB10" s="264"/>
      <c r="AC10" s="264"/>
      <c r="AD10" s="264"/>
      <c r="AE10" s="264"/>
      <c r="AF10" s="264"/>
      <c r="AG10" s="264"/>
      <c r="AH10" s="264"/>
      <c r="AI10" s="264"/>
      <c r="AJ10" s="264"/>
    </row>
    <row r="11" spans="2:36" ht="66" customHeight="1" x14ac:dyDescent="0.25">
      <c r="B11" s="8" t="s">
        <v>70</v>
      </c>
      <c r="D11" s="480" t="str">
        <f>+'DADOS DA OBRA'!$B$31</f>
        <v>SINAPI - 04/2022 - PIAUÍ   	SBC - 05/2022 - TSA - Teresina - PI  ORSE - 03/2022 - SERGIPE      ETOP - 03/2022 - Minas Gerais - Central SUDECAP - 02/2022 - MINAS GERAIS    CPOS - 02/2022 - São Paulo AGESUL - 01/2022 - MATO GROSSO DO SUL     GETOP CIVIL - 04/2022 - Goiás EMOP - 04/2022 - RIO DE JANEIRO</v>
      </c>
      <c r="E11" s="480"/>
      <c r="F11" s="480"/>
      <c r="G11" s="480"/>
      <c r="H11" s="480"/>
      <c r="I11" s="480"/>
      <c r="J11" s="480"/>
      <c r="K11" s="480"/>
      <c r="L11" s="480"/>
      <c r="M11" s="480"/>
      <c r="N11" s="480"/>
      <c r="O11" s="480"/>
      <c r="P11" s="480"/>
      <c r="Q11" s="480"/>
      <c r="R11" s="480"/>
      <c r="S11" s="480"/>
      <c r="X11" s="10" t="s">
        <v>72</v>
      </c>
      <c r="Y11" s="294">
        <f>+'CURVA ABC - SERVIÇOS'!J9</f>
        <v>0.70630000000000004</v>
      </c>
      <c r="Z11" s="262"/>
    </row>
    <row r="12" spans="2:36" s="1" customFormat="1" ht="6.95" customHeight="1" x14ac:dyDescent="0.25">
      <c r="I12" s="2"/>
      <c r="J12" s="3"/>
      <c r="K12" s="3"/>
      <c r="L12" s="4"/>
      <c r="M12" s="5"/>
      <c r="N12" s="6"/>
      <c r="AB12" s="266"/>
      <c r="AC12" s="266"/>
      <c r="AD12" s="266"/>
      <c r="AE12" s="266"/>
      <c r="AF12" s="266"/>
      <c r="AG12" s="266"/>
      <c r="AH12" s="266"/>
      <c r="AI12" s="266"/>
      <c r="AJ12" s="266"/>
    </row>
    <row r="13" spans="2:36" ht="20.100000000000001" customHeight="1" x14ac:dyDescent="0.25">
      <c r="B13" s="583"/>
      <c r="C13" s="583"/>
      <c r="D13" s="583"/>
      <c r="E13" s="583"/>
      <c r="F13" s="583"/>
      <c r="G13" s="585"/>
      <c r="H13" s="585"/>
      <c r="I13" s="585"/>
      <c r="J13" s="585"/>
      <c r="K13" s="585"/>
      <c r="L13" s="585"/>
      <c r="M13" s="585"/>
      <c r="N13" s="585"/>
      <c r="O13" s="585"/>
      <c r="P13" s="585"/>
      <c r="Q13" s="585"/>
      <c r="R13" s="585"/>
      <c r="S13" s="585"/>
      <c r="T13" s="585"/>
      <c r="U13" s="585"/>
      <c r="V13" s="585"/>
      <c r="W13" s="585"/>
      <c r="X13" s="585"/>
      <c r="Y13" s="585"/>
      <c r="AB13" s="254"/>
      <c r="AC13" s="254"/>
      <c r="AD13" s="254"/>
      <c r="AE13" s="254"/>
    </row>
    <row r="14" spans="2:36" ht="20.100000000000001" customHeight="1" x14ac:dyDescent="0.25">
      <c r="B14" s="583" t="s">
        <v>38</v>
      </c>
      <c r="C14" s="583"/>
      <c r="D14" s="583"/>
      <c r="E14" s="583"/>
      <c r="F14" s="583"/>
      <c r="G14" s="589" t="s">
        <v>789</v>
      </c>
      <c r="H14" s="589"/>
      <c r="I14" s="589"/>
      <c r="J14" s="589"/>
      <c r="K14" s="589"/>
      <c r="L14" s="589"/>
      <c r="M14" s="589"/>
      <c r="N14" s="589"/>
      <c r="O14" s="589"/>
      <c r="P14" s="589"/>
      <c r="Q14" s="589"/>
      <c r="R14" s="589"/>
      <c r="S14" s="589"/>
      <c r="T14" s="589"/>
      <c r="U14" s="589"/>
      <c r="V14" s="589"/>
      <c r="W14" s="589"/>
      <c r="X14" s="589"/>
      <c r="Y14" s="589"/>
      <c r="AB14" s="254"/>
      <c r="AC14" s="254"/>
      <c r="AD14" s="254"/>
      <c r="AE14" s="254"/>
    </row>
    <row r="15" spans="2:36" ht="20.100000000000001" customHeight="1" x14ac:dyDescent="0.25">
      <c r="B15" s="583" t="s">
        <v>39</v>
      </c>
      <c r="C15" s="583"/>
      <c r="D15" s="583"/>
      <c r="E15" s="583"/>
      <c r="F15" s="583"/>
      <c r="G15" s="589" t="s">
        <v>81</v>
      </c>
      <c r="H15" s="589"/>
      <c r="I15" s="589"/>
      <c r="J15" s="589"/>
      <c r="K15" s="589"/>
      <c r="L15" s="589"/>
      <c r="M15" s="589"/>
      <c r="N15" s="589"/>
      <c r="O15" s="589"/>
      <c r="P15" s="589"/>
      <c r="Q15" s="589"/>
      <c r="R15" s="589"/>
      <c r="S15" s="589"/>
      <c r="T15" s="589"/>
      <c r="U15" s="589"/>
      <c r="V15" s="589"/>
      <c r="W15" s="589"/>
      <c r="X15" s="589"/>
      <c r="Y15" s="589"/>
      <c r="AB15" s="254"/>
      <c r="AC15" s="254"/>
      <c r="AD15" s="254"/>
      <c r="AE15" s="254"/>
    </row>
    <row r="16" spans="2:36" ht="20.100000000000001" customHeight="1" x14ac:dyDescent="0.25">
      <c r="B16" s="583" t="s">
        <v>82</v>
      </c>
      <c r="C16" s="583"/>
      <c r="D16" s="583"/>
      <c r="E16" s="583"/>
      <c r="F16" s="583"/>
      <c r="G16" s="588">
        <v>0.6</v>
      </c>
      <c r="H16" s="588"/>
      <c r="I16" s="588"/>
      <c r="J16" s="56" t="s">
        <v>87</v>
      </c>
      <c r="K16" s="55">
        <v>0.03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AB16" s="254"/>
      <c r="AC16" s="254"/>
      <c r="AD16" s="254"/>
      <c r="AE16" s="254"/>
    </row>
    <row r="17" spans="1:47" ht="20.100000000000001" customHeight="1" x14ac:dyDescent="0.25">
      <c r="B17" s="267"/>
      <c r="C17" s="267"/>
      <c r="D17" s="267"/>
      <c r="E17" s="267"/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</row>
    <row r="18" spans="1:47" ht="20.100000000000001" customHeight="1" x14ac:dyDescent="0.25"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</row>
    <row r="19" spans="1:47" ht="20.100000000000001" customHeight="1" thickBot="1" x14ac:dyDescent="0.3">
      <c r="B19" s="267"/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267"/>
      <c r="W19" s="267"/>
      <c r="X19" s="267"/>
      <c r="Y19" s="267"/>
    </row>
    <row r="20" spans="1:47" ht="24.75" customHeight="1" x14ac:dyDescent="0.25">
      <c r="B20" s="12"/>
      <c r="C20" s="12"/>
      <c r="D20" s="12"/>
      <c r="E20" s="590" t="s">
        <v>83</v>
      </c>
      <c r="F20" s="591"/>
      <c r="G20" s="591"/>
      <c r="H20" s="591"/>
      <c r="I20" s="594" t="s">
        <v>40</v>
      </c>
      <c r="J20" s="594"/>
      <c r="K20" s="594"/>
      <c r="L20" s="595"/>
      <c r="O20" s="268"/>
      <c r="P20" s="598" t="s">
        <v>296</v>
      </c>
      <c r="Q20" s="599"/>
      <c r="R20" s="599"/>
      <c r="S20" s="599"/>
      <c r="T20" s="599"/>
      <c r="U20" s="599"/>
      <c r="V20" s="600"/>
      <c r="W20" s="268"/>
      <c r="X20" s="268"/>
      <c r="Y20" s="268"/>
      <c r="AA20" s="269"/>
      <c r="AB20" s="270"/>
      <c r="AC20" s="270"/>
      <c r="AD20" s="270"/>
      <c r="AM20" s="269"/>
      <c r="AN20" s="269"/>
      <c r="AO20" s="269"/>
      <c r="AP20" s="269"/>
      <c r="AQ20" s="269"/>
      <c r="AR20" s="269"/>
      <c r="AS20" s="269"/>
      <c r="AT20" s="269"/>
      <c r="AU20" s="269"/>
    </row>
    <row r="21" spans="1:47" ht="20.100000000000001" customHeight="1" thickBot="1" x14ac:dyDescent="0.3">
      <c r="B21" s="12"/>
      <c r="C21" s="12"/>
      <c r="D21" s="12"/>
      <c r="E21" s="592"/>
      <c r="F21" s="593"/>
      <c r="G21" s="593"/>
      <c r="H21" s="593"/>
      <c r="I21" s="596"/>
      <c r="J21" s="596"/>
      <c r="K21" s="596"/>
      <c r="L21" s="597"/>
      <c r="O21" s="53"/>
      <c r="P21" s="271" t="s">
        <v>297</v>
      </c>
      <c r="Q21" s="53"/>
      <c r="R21" s="53"/>
      <c r="S21" s="53" t="s">
        <v>298</v>
      </c>
      <c r="T21" s="53"/>
      <c r="U21" s="53"/>
      <c r="V21" s="272" t="s">
        <v>299</v>
      </c>
      <c r="W21" s="53"/>
      <c r="X21" s="53"/>
      <c r="Y21" s="53"/>
      <c r="AC21" s="254"/>
      <c r="AD21" s="254"/>
    </row>
    <row r="22" spans="1:47" ht="20.100000000000001" customHeight="1" x14ac:dyDescent="0.25">
      <c r="B22" s="12"/>
      <c r="C22" s="12"/>
      <c r="D22" s="12"/>
      <c r="E22" s="273" t="s">
        <v>73</v>
      </c>
      <c r="F22" s="274"/>
      <c r="G22" s="274"/>
      <c r="H22" s="274"/>
      <c r="I22" s="601">
        <v>4</v>
      </c>
      <c r="J22" s="601"/>
      <c r="K22" s="601"/>
      <c r="L22" s="602"/>
      <c r="O22" s="53"/>
      <c r="P22" s="271">
        <v>3</v>
      </c>
      <c r="Q22" s="53"/>
      <c r="R22" s="53"/>
      <c r="S22" s="53">
        <v>4</v>
      </c>
      <c r="T22" s="53"/>
      <c r="U22" s="53"/>
      <c r="V22" s="272">
        <v>5.5</v>
      </c>
      <c r="W22" s="53"/>
      <c r="X22" s="53"/>
      <c r="Y22" s="53"/>
      <c r="AC22" s="254"/>
      <c r="AD22" s="254"/>
    </row>
    <row r="23" spans="1:47" ht="20.100000000000001" customHeight="1" x14ac:dyDescent="0.25">
      <c r="B23" s="12"/>
      <c r="C23" s="12"/>
      <c r="D23" s="12"/>
      <c r="E23" s="273" t="s">
        <v>74</v>
      </c>
      <c r="F23" s="274"/>
      <c r="G23" s="274"/>
      <c r="H23" s="274"/>
      <c r="I23" s="586">
        <v>0.8</v>
      </c>
      <c r="J23" s="586"/>
      <c r="K23" s="586"/>
      <c r="L23" s="587"/>
      <c r="O23" s="53"/>
      <c r="P23" s="271">
        <v>0.8</v>
      </c>
      <c r="Q23" s="53"/>
      <c r="R23" s="53"/>
      <c r="S23" s="53">
        <v>0.8</v>
      </c>
      <c r="T23" s="53"/>
      <c r="U23" s="53"/>
      <c r="V23" s="272">
        <v>1</v>
      </c>
      <c r="W23" s="53"/>
      <c r="X23" s="53"/>
      <c r="Y23" s="53"/>
      <c r="AC23" s="254"/>
      <c r="AD23" s="254"/>
    </row>
    <row r="24" spans="1:47" ht="20.100000000000001" customHeight="1" x14ac:dyDescent="0.25">
      <c r="B24" s="12"/>
      <c r="C24" s="12"/>
      <c r="D24" s="12"/>
      <c r="E24" s="273" t="s">
        <v>75</v>
      </c>
      <c r="F24" s="274"/>
      <c r="G24" s="274"/>
      <c r="H24" s="274"/>
      <c r="I24" s="586">
        <v>1.27</v>
      </c>
      <c r="J24" s="586"/>
      <c r="K24" s="586"/>
      <c r="L24" s="587"/>
      <c r="O24" s="53"/>
      <c r="P24" s="271">
        <v>0.97</v>
      </c>
      <c r="Q24" s="53"/>
      <c r="R24" s="53"/>
      <c r="S24" s="53">
        <v>1.27</v>
      </c>
      <c r="T24" s="53"/>
      <c r="U24" s="53"/>
      <c r="V24" s="272">
        <v>1.27</v>
      </c>
      <c r="W24" s="53"/>
      <c r="X24" s="53"/>
      <c r="Y24" s="53"/>
      <c r="AC24" s="254"/>
      <c r="AD24" s="254"/>
    </row>
    <row r="25" spans="1:47" ht="20.100000000000001" customHeight="1" x14ac:dyDescent="0.25">
      <c r="B25" s="12"/>
      <c r="C25" s="12"/>
      <c r="D25" s="12"/>
      <c r="E25" s="273" t="s">
        <v>76</v>
      </c>
      <c r="F25" s="274"/>
      <c r="G25" s="274"/>
      <c r="H25" s="274"/>
      <c r="I25" s="586">
        <v>1.23</v>
      </c>
      <c r="J25" s="586"/>
      <c r="K25" s="586"/>
      <c r="L25" s="587"/>
      <c r="O25" s="53"/>
      <c r="P25" s="271">
        <v>0.59</v>
      </c>
      <c r="Q25" s="53"/>
      <c r="R25" s="53"/>
      <c r="S25" s="53">
        <v>1.23</v>
      </c>
      <c r="T25" s="53"/>
      <c r="U25" s="53"/>
      <c r="V25" s="272">
        <v>1.39</v>
      </c>
      <c r="W25" s="53"/>
      <c r="X25" s="53"/>
      <c r="Y25" s="53"/>
      <c r="AC25" s="254"/>
      <c r="AD25" s="254"/>
    </row>
    <row r="26" spans="1:47" ht="20.100000000000001" customHeight="1" x14ac:dyDescent="0.25">
      <c r="B26" s="12"/>
      <c r="C26" s="12"/>
      <c r="D26" s="12"/>
      <c r="E26" s="273" t="s">
        <v>77</v>
      </c>
      <c r="F26" s="274"/>
      <c r="G26" s="274"/>
      <c r="H26" s="274"/>
      <c r="I26" s="586">
        <v>7.4</v>
      </c>
      <c r="J26" s="586"/>
      <c r="K26" s="586"/>
      <c r="L26" s="587"/>
      <c r="O26" s="53"/>
      <c r="P26" s="271">
        <v>6.16</v>
      </c>
      <c r="Q26" s="53"/>
      <c r="R26" s="53"/>
      <c r="S26" s="53">
        <v>7.4</v>
      </c>
      <c r="T26" s="53"/>
      <c r="U26" s="53"/>
      <c r="V26" s="272">
        <v>8.9600000000000009</v>
      </c>
      <c r="W26" s="53"/>
      <c r="X26" s="53"/>
      <c r="Y26" s="53"/>
      <c r="Z26" s="296"/>
      <c r="AA26" s="297"/>
      <c r="AB26" s="275"/>
      <c r="AC26" s="254"/>
      <c r="AD26" s="254"/>
    </row>
    <row r="27" spans="1:47" ht="20.100000000000001" customHeight="1" x14ac:dyDescent="0.25">
      <c r="B27" s="12"/>
      <c r="C27" s="12"/>
      <c r="D27" s="12"/>
      <c r="E27" s="273" t="s">
        <v>78</v>
      </c>
      <c r="F27" s="274"/>
      <c r="G27" s="274"/>
      <c r="H27" s="274"/>
      <c r="I27" s="586">
        <v>0.65</v>
      </c>
      <c r="J27" s="586"/>
      <c r="K27" s="586"/>
      <c r="L27" s="587"/>
      <c r="O27" s="53"/>
      <c r="P27" s="271">
        <v>0.65</v>
      </c>
      <c r="Q27" s="53"/>
      <c r="R27" s="53"/>
      <c r="S27" s="53">
        <v>0.65</v>
      </c>
      <c r="T27" s="53"/>
      <c r="U27" s="53"/>
      <c r="V27" s="272">
        <v>0.65</v>
      </c>
      <c r="W27" s="53"/>
      <c r="X27" s="53"/>
      <c r="Y27" s="53"/>
      <c r="AC27" s="254"/>
      <c r="AD27" s="254"/>
    </row>
    <row r="28" spans="1:47" ht="20.100000000000001" customHeight="1" x14ac:dyDescent="0.25">
      <c r="B28" s="12"/>
      <c r="C28" s="12"/>
      <c r="D28" s="12"/>
      <c r="E28" s="273" t="s">
        <v>79</v>
      </c>
      <c r="F28" s="274"/>
      <c r="G28" s="274"/>
      <c r="H28" s="274"/>
      <c r="I28" s="586">
        <v>3</v>
      </c>
      <c r="J28" s="586"/>
      <c r="K28" s="586"/>
      <c r="L28" s="587"/>
      <c r="O28" s="53"/>
      <c r="P28" s="271">
        <v>3</v>
      </c>
      <c r="Q28" s="53"/>
      <c r="R28" s="53"/>
      <c r="S28" s="53">
        <v>3</v>
      </c>
      <c r="T28" s="53"/>
      <c r="U28" s="53"/>
      <c r="V28" s="272">
        <v>3</v>
      </c>
      <c r="W28" s="53"/>
      <c r="X28" s="53"/>
      <c r="Y28" s="53"/>
      <c r="AC28" s="254"/>
      <c r="AD28" s="254"/>
    </row>
    <row r="29" spans="1:47" ht="20.100000000000001" customHeight="1" thickBot="1" x14ac:dyDescent="0.3">
      <c r="B29" s="12"/>
      <c r="C29" s="12"/>
      <c r="D29" s="12"/>
      <c r="E29" s="273" t="s">
        <v>80</v>
      </c>
      <c r="F29" s="274"/>
      <c r="G29" s="274"/>
      <c r="H29" s="274"/>
      <c r="I29" s="586">
        <v>1.8</v>
      </c>
      <c r="J29" s="586"/>
      <c r="K29" s="586"/>
      <c r="L29" s="587"/>
      <c r="O29" s="53"/>
      <c r="P29" s="276">
        <v>2</v>
      </c>
      <c r="Q29" s="277"/>
      <c r="R29" s="277"/>
      <c r="S29" s="277">
        <v>2</v>
      </c>
      <c r="T29" s="277"/>
      <c r="U29" s="277"/>
      <c r="V29" s="278">
        <v>5</v>
      </c>
      <c r="W29" s="53"/>
      <c r="X29" s="53"/>
      <c r="Y29" s="53"/>
      <c r="AC29" s="254"/>
      <c r="AD29" s="254"/>
    </row>
    <row r="30" spans="1:47" ht="20.100000000000001" customHeight="1" thickBot="1" x14ac:dyDescent="0.3">
      <c r="B30" s="12"/>
      <c r="C30" s="12"/>
      <c r="D30" s="12"/>
      <c r="E30" s="273" t="s">
        <v>84</v>
      </c>
      <c r="F30" s="274"/>
      <c r="G30" s="274"/>
      <c r="H30" s="274"/>
      <c r="I30" s="586">
        <v>4.5</v>
      </c>
      <c r="J30" s="586"/>
      <c r="K30" s="586"/>
      <c r="L30" s="587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AB30" s="279"/>
      <c r="AC30" s="254"/>
      <c r="AD30" s="254"/>
      <c r="AE30" s="254"/>
      <c r="AF30" s="254"/>
      <c r="AG30" s="254"/>
      <c r="AH30" s="254"/>
      <c r="AI30" s="254"/>
      <c r="AJ30" s="254"/>
    </row>
    <row r="31" spans="1:47" ht="25.5" customHeight="1" thickBot="1" x14ac:dyDescent="0.3">
      <c r="A31" s="54"/>
      <c r="B31" s="292"/>
      <c r="C31" s="280"/>
      <c r="D31" s="281"/>
      <c r="E31" s="282" t="s">
        <v>41</v>
      </c>
      <c r="F31" s="283"/>
      <c r="G31" s="283"/>
      <c r="H31" s="283"/>
      <c r="I31" s="603">
        <f>TRUNC((((((1+I22/100+I23/100+I24/100)*(1+I25/100)*(1+I26/100))/(1-(I27/100+I28/100+I29/100+I30/100)))-1)*100),2)</f>
        <v>28.06</v>
      </c>
      <c r="J31" s="603"/>
      <c r="K31" s="603"/>
      <c r="L31" s="604"/>
      <c r="M31" s="284"/>
      <c r="N31" s="284"/>
      <c r="O31" s="284"/>
      <c r="P31" s="598" t="s">
        <v>300</v>
      </c>
      <c r="Q31" s="599"/>
      <c r="R31" s="599"/>
      <c r="S31" s="599"/>
      <c r="T31" s="599"/>
      <c r="U31" s="599"/>
      <c r="V31" s="600"/>
      <c r="W31" s="284"/>
      <c r="X31" s="284"/>
      <c r="Y31" s="12"/>
      <c r="Z31" s="54"/>
      <c r="AB31" s="285"/>
      <c r="AC31" s="285"/>
      <c r="AD31" s="285"/>
      <c r="AE31" s="285"/>
      <c r="AF31" s="285"/>
      <c r="AG31" s="285"/>
      <c r="AH31" s="285"/>
      <c r="AI31" s="285"/>
      <c r="AJ31" s="285"/>
    </row>
    <row r="32" spans="1:47" ht="20.100000000000001" customHeight="1" thickBot="1" x14ac:dyDescent="0.3">
      <c r="A32" s="54"/>
      <c r="B32" s="292"/>
      <c r="C32" s="280"/>
      <c r="D32" s="281"/>
      <c r="E32" s="281"/>
      <c r="F32" s="281"/>
      <c r="G32" s="281"/>
      <c r="H32" s="281"/>
      <c r="I32" s="281"/>
      <c r="J32" s="281"/>
      <c r="K32" s="284"/>
      <c r="L32" s="284"/>
      <c r="M32" s="284"/>
      <c r="N32" s="284"/>
      <c r="O32" s="284"/>
      <c r="P32" s="276">
        <v>20.34</v>
      </c>
      <c r="Q32" s="277"/>
      <c r="R32" s="277"/>
      <c r="S32" s="277">
        <v>22.12</v>
      </c>
      <c r="T32" s="277"/>
      <c r="U32" s="277"/>
      <c r="V32" s="278">
        <v>25</v>
      </c>
      <c r="W32" s="284"/>
      <c r="X32" s="284"/>
      <c r="Y32" s="12"/>
      <c r="Z32" s="54"/>
      <c r="AB32" s="285"/>
      <c r="AC32" s="285"/>
      <c r="AD32" s="285"/>
      <c r="AE32" s="285"/>
      <c r="AF32" s="285"/>
      <c r="AG32" s="285"/>
      <c r="AH32" s="285"/>
      <c r="AI32" s="285"/>
      <c r="AJ32" s="285"/>
    </row>
    <row r="33" spans="1:36" ht="20.100000000000001" customHeight="1" x14ac:dyDescent="0.25">
      <c r="A33" s="54"/>
      <c r="B33" s="292"/>
      <c r="C33" s="280"/>
      <c r="D33" s="281"/>
      <c r="E33" s="281"/>
      <c r="F33" s="281"/>
      <c r="G33" s="281"/>
      <c r="H33" s="281"/>
      <c r="I33" s="281"/>
      <c r="J33" s="281"/>
      <c r="K33" s="284"/>
      <c r="L33" s="284"/>
      <c r="M33" s="284"/>
      <c r="N33" s="284"/>
      <c r="O33" s="284"/>
      <c r="P33" s="608"/>
      <c r="Q33" s="608"/>
      <c r="R33" s="608"/>
      <c r="S33" s="608"/>
      <c r="T33" s="608"/>
      <c r="U33" s="608"/>
      <c r="V33" s="608"/>
      <c r="W33" s="284"/>
      <c r="X33" s="284"/>
      <c r="Y33" s="12"/>
      <c r="Z33" s="54"/>
      <c r="AB33" s="285"/>
      <c r="AC33" s="285"/>
      <c r="AD33" s="285"/>
      <c r="AE33" s="285"/>
      <c r="AF33" s="285"/>
      <c r="AG33" s="285"/>
      <c r="AH33" s="285"/>
      <c r="AI33" s="285"/>
      <c r="AJ33" s="285"/>
    </row>
    <row r="34" spans="1:36" ht="23.1" customHeight="1" x14ac:dyDescent="0.25">
      <c r="B34" s="605" t="s">
        <v>85</v>
      </c>
      <c r="C34" s="605"/>
      <c r="D34" s="605"/>
      <c r="E34" s="605"/>
      <c r="F34" s="605"/>
      <c r="G34" s="605"/>
      <c r="H34" s="605"/>
      <c r="I34" s="605"/>
      <c r="J34" s="605"/>
      <c r="K34" s="605"/>
      <c r="L34" s="605"/>
      <c r="M34" s="605"/>
      <c r="N34" s="605"/>
      <c r="O34" s="605"/>
      <c r="P34" s="605"/>
      <c r="Q34" s="605"/>
      <c r="R34" s="605"/>
      <c r="S34" s="605"/>
      <c r="T34" s="605"/>
      <c r="U34" s="605"/>
      <c r="V34" s="605"/>
      <c r="W34" s="605"/>
      <c r="X34" s="605"/>
      <c r="Y34" s="605"/>
      <c r="AB34" s="254"/>
      <c r="AC34" s="254"/>
      <c r="AD34" s="286"/>
      <c r="AE34" s="287"/>
      <c r="AF34" s="254"/>
      <c r="AG34" s="254"/>
      <c r="AH34" s="254"/>
      <c r="AI34" s="254"/>
      <c r="AJ34" s="254"/>
    </row>
    <row r="35" spans="1:36" ht="9.9499999999999993" customHeight="1" x14ac:dyDescent="0.25">
      <c r="B35" s="609"/>
      <c r="C35" s="609"/>
      <c r="D35" s="609"/>
      <c r="E35" s="609"/>
      <c r="F35" s="609"/>
      <c r="G35" s="609"/>
      <c r="H35" s="609"/>
      <c r="I35" s="609"/>
      <c r="J35" s="609"/>
      <c r="K35" s="609"/>
      <c r="L35" s="609"/>
      <c r="M35" s="609"/>
      <c r="N35" s="609"/>
      <c r="O35" s="609"/>
      <c r="P35" s="609"/>
      <c r="Q35" s="609"/>
      <c r="R35" s="609"/>
      <c r="S35" s="609"/>
      <c r="T35" s="609"/>
      <c r="U35" s="609"/>
      <c r="V35" s="609"/>
      <c r="W35" s="609"/>
      <c r="X35" s="609"/>
      <c r="Y35" s="609"/>
      <c r="AB35" s="254"/>
      <c r="AC35" s="254"/>
      <c r="AD35" s="254"/>
      <c r="AE35" s="254"/>
      <c r="AF35" s="254"/>
      <c r="AG35" s="254"/>
      <c r="AH35" s="254"/>
      <c r="AI35" s="254"/>
      <c r="AJ35" s="254"/>
    </row>
    <row r="36" spans="1:36" ht="23.1" customHeight="1" x14ac:dyDescent="0.25">
      <c r="B36" s="606" t="s">
        <v>86</v>
      </c>
      <c r="C36" s="606"/>
      <c r="D36" s="606"/>
      <c r="E36" s="606"/>
      <c r="F36" s="606"/>
      <c r="G36" s="606"/>
      <c r="H36" s="606"/>
      <c r="I36" s="606"/>
      <c r="J36" s="606"/>
      <c r="K36" s="606"/>
      <c r="L36" s="606"/>
      <c r="M36" s="606"/>
      <c r="N36" s="606"/>
      <c r="O36" s="606"/>
      <c r="P36" s="606"/>
      <c r="Q36" s="606"/>
      <c r="R36" s="606"/>
      <c r="S36" s="606"/>
      <c r="T36" s="606"/>
      <c r="U36" s="606"/>
      <c r="V36" s="606"/>
      <c r="W36" s="606"/>
      <c r="X36" s="606"/>
      <c r="Y36" s="606"/>
      <c r="AB36" s="254"/>
      <c r="AC36" s="254"/>
      <c r="AD36" s="286"/>
      <c r="AE36" s="254"/>
      <c r="AF36" s="254"/>
      <c r="AG36" s="254"/>
      <c r="AH36" s="254"/>
      <c r="AI36" s="254"/>
      <c r="AJ36" s="254"/>
    </row>
    <row r="37" spans="1:36" ht="23.1" customHeight="1" x14ac:dyDescent="0.25">
      <c r="B37" s="607"/>
      <c r="C37" s="607"/>
      <c r="D37" s="607"/>
      <c r="E37" s="607"/>
      <c r="F37" s="607"/>
      <c r="G37" s="607"/>
      <c r="H37" s="607"/>
      <c r="I37" s="607"/>
      <c r="J37" s="607"/>
      <c r="K37" s="607"/>
      <c r="L37" s="607"/>
      <c r="M37" s="607"/>
      <c r="N37" s="607"/>
      <c r="O37" s="607"/>
      <c r="P37" s="607"/>
      <c r="Q37" s="607"/>
      <c r="R37" s="607"/>
      <c r="S37" s="607"/>
      <c r="T37" s="607"/>
      <c r="U37" s="607"/>
      <c r="V37" s="607"/>
      <c r="W37" s="607"/>
      <c r="X37" s="607"/>
      <c r="Y37" s="607"/>
      <c r="AB37" s="254"/>
      <c r="AC37" s="254"/>
      <c r="AD37" s="254"/>
      <c r="AE37" s="254"/>
      <c r="AF37" s="254"/>
      <c r="AG37" s="254"/>
      <c r="AH37" s="254"/>
      <c r="AI37" s="254"/>
      <c r="AJ37" s="254"/>
    </row>
    <row r="38" spans="1:36" ht="23.1" customHeight="1" x14ac:dyDescent="0.25">
      <c r="B38" s="293"/>
      <c r="C38" s="293"/>
      <c r="D38" s="293"/>
      <c r="E38" s="293"/>
      <c r="F38" s="293"/>
      <c r="G38" s="293"/>
      <c r="H38" s="293"/>
      <c r="I38" s="293"/>
      <c r="J38" s="293"/>
      <c r="K38" s="293"/>
      <c r="L38" s="293"/>
      <c r="M38" s="293"/>
      <c r="N38" s="293"/>
      <c r="O38" s="293"/>
      <c r="P38" s="293"/>
      <c r="Q38" s="293"/>
      <c r="R38" s="293"/>
      <c r="S38" s="293"/>
      <c r="T38" s="293"/>
      <c r="U38" s="293"/>
      <c r="V38" s="293"/>
      <c r="W38" s="293"/>
      <c r="X38" s="293"/>
      <c r="Y38" s="293"/>
    </row>
    <row r="39" spans="1:36" ht="23.1" customHeight="1" x14ac:dyDescent="0.25">
      <c r="A39" s="54"/>
      <c r="B39" s="292" t="s">
        <v>88</v>
      </c>
      <c r="C39" s="288"/>
      <c r="D39" s="288"/>
      <c r="E39" s="288"/>
      <c r="F39" s="288"/>
      <c r="G39" s="288"/>
      <c r="H39" s="288"/>
      <c r="I39" s="288"/>
      <c r="J39" s="280"/>
      <c r="K39" s="280"/>
      <c r="L39" s="280"/>
      <c r="M39" s="289"/>
      <c r="N39" s="289"/>
      <c r="O39" s="289"/>
      <c r="P39" s="290"/>
      <c r="Q39" s="290"/>
      <c r="R39" s="290"/>
      <c r="S39" s="290"/>
      <c r="T39" s="290"/>
      <c r="U39" s="290"/>
      <c r="V39" s="290"/>
      <c r="W39" s="290"/>
      <c r="X39" s="290"/>
      <c r="Y39" s="290"/>
      <c r="Z39" s="54"/>
    </row>
    <row r="40" spans="1:36" ht="23.1" customHeight="1" x14ac:dyDescent="0.25">
      <c r="A40" s="54"/>
      <c r="B40" s="292" t="s">
        <v>89</v>
      </c>
      <c r="C40" s="280"/>
      <c r="D40" s="281"/>
      <c r="E40" s="281"/>
      <c r="F40" s="281"/>
      <c r="G40" s="281"/>
      <c r="H40" s="281"/>
      <c r="I40" s="281"/>
      <c r="J40" s="281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12"/>
      <c r="Z40" s="54"/>
      <c r="AB40" s="285"/>
      <c r="AC40" s="285"/>
      <c r="AD40" s="285"/>
      <c r="AE40" s="285"/>
      <c r="AF40" s="285"/>
      <c r="AG40" s="285"/>
      <c r="AH40" s="285"/>
      <c r="AI40" s="285"/>
      <c r="AJ40" s="285"/>
    </row>
    <row r="41" spans="1:36" ht="23.1" customHeight="1" x14ac:dyDescent="0.25">
      <c r="A41" s="54"/>
      <c r="B41" s="292" t="s">
        <v>90</v>
      </c>
      <c r="C41" s="280"/>
      <c r="D41" s="281"/>
      <c r="E41" s="281"/>
      <c r="F41" s="281"/>
      <c r="G41" s="281"/>
      <c r="H41" s="281"/>
      <c r="I41" s="281"/>
      <c r="J41" s="281"/>
      <c r="K41" s="284"/>
      <c r="L41" s="284"/>
      <c r="M41" s="284"/>
      <c r="N41" s="284"/>
      <c r="O41" s="284"/>
      <c r="P41" s="284"/>
      <c r="Q41" s="284"/>
      <c r="R41" s="284"/>
      <c r="S41" s="284"/>
      <c r="T41" s="284"/>
      <c r="U41" s="284"/>
      <c r="V41" s="284"/>
      <c r="W41" s="284"/>
      <c r="X41" s="284"/>
      <c r="Y41" s="12"/>
      <c r="Z41" s="54"/>
      <c r="AB41" s="285"/>
      <c r="AC41" s="285"/>
      <c r="AD41" s="285"/>
      <c r="AE41" s="285"/>
      <c r="AF41" s="285"/>
      <c r="AG41" s="285"/>
      <c r="AH41" s="285"/>
      <c r="AI41" s="285"/>
      <c r="AJ41" s="285"/>
    </row>
    <row r="42" spans="1:36" ht="23.1" customHeight="1" x14ac:dyDescent="0.25">
      <c r="A42" s="54"/>
      <c r="B42" s="292" t="s">
        <v>91</v>
      </c>
      <c r="C42" s="288"/>
      <c r="D42" s="288"/>
      <c r="E42" s="288"/>
      <c r="F42" s="288"/>
      <c r="G42" s="288"/>
      <c r="H42" s="288"/>
      <c r="I42" s="288"/>
      <c r="J42" s="280"/>
      <c r="K42" s="280"/>
      <c r="L42" s="280"/>
      <c r="M42" s="289"/>
      <c r="N42" s="289"/>
      <c r="O42" s="289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54"/>
    </row>
    <row r="43" spans="1:36" ht="23.1" customHeight="1" x14ac:dyDescent="0.25">
      <c r="A43" s="54"/>
      <c r="B43" s="292" t="s">
        <v>92</v>
      </c>
      <c r="C43" s="280"/>
      <c r="D43" s="281"/>
      <c r="E43" s="281"/>
      <c r="F43" s="281"/>
      <c r="G43" s="281"/>
      <c r="H43" s="281"/>
      <c r="I43" s="281"/>
      <c r="J43" s="281"/>
      <c r="K43" s="284"/>
      <c r="L43" s="284"/>
      <c r="M43" s="284"/>
      <c r="N43" s="284"/>
      <c r="O43" s="284"/>
      <c r="P43" s="284"/>
      <c r="Q43" s="284"/>
      <c r="R43" s="284"/>
      <c r="S43" s="284"/>
      <c r="T43" s="284"/>
      <c r="U43" s="284"/>
      <c r="V43" s="284"/>
      <c r="W43" s="284"/>
      <c r="X43" s="284"/>
      <c r="Y43" s="12"/>
      <c r="Z43" s="54"/>
      <c r="AB43" s="285"/>
      <c r="AC43" s="285"/>
      <c r="AD43" s="285"/>
      <c r="AE43" s="285"/>
      <c r="AF43" s="285"/>
      <c r="AG43" s="285"/>
      <c r="AH43" s="285"/>
      <c r="AI43" s="285"/>
      <c r="AJ43" s="285"/>
    </row>
    <row r="44" spans="1:36" ht="23.1" customHeight="1" x14ac:dyDescent="0.25">
      <c r="A44" s="54"/>
      <c r="B44" s="292" t="s">
        <v>93</v>
      </c>
      <c r="C44" s="280"/>
      <c r="D44" s="281"/>
      <c r="E44" s="281"/>
      <c r="F44" s="281"/>
      <c r="G44" s="281"/>
      <c r="H44" s="281"/>
      <c r="I44" s="281"/>
      <c r="J44" s="281"/>
      <c r="K44" s="284"/>
      <c r="L44" s="284"/>
      <c r="M44" s="284"/>
      <c r="N44" s="284"/>
      <c r="O44" s="284"/>
      <c r="P44" s="284"/>
      <c r="Q44" s="284"/>
      <c r="R44" s="284"/>
      <c r="S44" s="284"/>
      <c r="T44" s="284"/>
      <c r="U44" s="284"/>
      <c r="V44" s="284"/>
      <c r="W44" s="284"/>
      <c r="X44" s="284"/>
      <c r="Y44" s="12"/>
      <c r="Z44" s="54"/>
      <c r="AB44" s="285"/>
      <c r="AC44" s="285"/>
      <c r="AD44" s="285"/>
      <c r="AE44" s="285"/>
      <c r="AF44" s="285"/>
      <c r="AG44" s="285"/>
      <c r="AH44" s="285"/>
      <c r="AI44" s="285"/>
      <c r="AJ44" s="285"/>
    </row>
    <row r="45" spans="1:36" ht="23.1" customHeight="1" x14ac:dyDescent="0.25">
      <c r="A45" s="54"/>
      <c r="B45" s="280"/>
      <c r="C45" s="280"/>
      <c r="D45" s="281"/>
      <c r="E45" s="281"/>
      <c r="F45" s="281"/>
      <c r="G45" s="281"/>
      <c r="H45" s="281"/>
      <c r="I45" s="281"/>
      <c r="J45" s="281"/>
      <c r="K45" s="284"/>
      <c r="L45" s="284"/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12"/>
      <c r="Z45" s="54"/>
      <c r="AB45" s="285"/>
      <c r="AC45" s="285"/>
      <c r="AD45" s="285"/>
      <c r="AE45" s="285"/>
      <c r="AF45" s="285"/>
      <c r="AG45" s="285"/>
      <c r="AH45" s="285"/>
      <c r="AI45" s="285"/>
      <c r="AJ45" s="285"/>
    </row>
    <row r="46" spans="1:36" s="54" customFormat="1" ht="23.1" customHeight="1" x14ac:dyDescent="0.25">
      <c r="B46" s="505" t="s">
        <v>42</v>
      </c>
      <c r="C46" s="505"/>
      <c r="D46" s="505"/>
      <c r="E46" s="505"/>
      <c r="F46" s="505"/>
      <c r="G46" s="505"/>
      <c r="H46" s="505"/>
      <c r="I46" s="505"/>
      <c r="J46" s="505"/>
      <c r="K46" s="505"/>
      <c r="L46" s="505"/>
      <c r="M46" s="505"/>
      <c r="N46" s="505"/>
      <c r="O46" s="505"/>
      <c r="P46" s="505"/>
      <c r="Q46" s="505"/>
      <c r="R46" s="505"/>
      <c r="S46" s="505"/>
      <c r="T46" s="505"/>
      <c r="U46" s="505"/>
      <c r="V46" s="505"/>
      <c r="W46" s="505"/>
      <c r="X46" s="505"/>
      <c r="Y46" s="505"/>
      <c r="Z46" s="295"/>
      <c r="AB46" s="291"/>
      <c r="AC46" s="291"/>
      <c r="AD46" s="291"/>
      <c r="AE46" s="291"/>
      <c r="AF46" s="291"/>
      <c r="AG46" s="291"/>
      <c r="AH46" s="291"/>
      <c r="AI46" s="291"/>
      <c r="AJ46" s="291"/>
    </row>
    <row r="47" spans="1:36" s="54" customFormat="1" ht="23.1" customHeight="1" x14ac:dyDescent="0.25">
      <c r="B47" s="607" t="str">
        <f>"Declaro para os devidos fins que, conforme legislação tributária do município de "&amp;G14&amp;", a base de cálculo do ISS para "&amp;G15&amp;", é de "&amp;(G16*100)&amp;"%, com a respectiva alíquota de "&amp;ROUND(K16*100,2)&amp;"% sobre o valor da mão de obra."</f>
        <v>Declaro para os devidos fins que, conforme legislação tributária do município de TERESINA - PI, a base de cálculo do ISS para Construção de Edifícios e Reformas (Quadras, unidades habitacionais, escolas, restaurantes, etc), é de 60%, com a respectiva alíquota de 3% sobre o valor da mão de obra.</v>
      </c>
      <c r="C47" s="607"/>
      <c r="D47" s="607"/>
      <c r="E47" s="607"/>
      <c r="F47" s="607"/>
      <c r="G47" s="607"/>
      <c r="H47" s="607"/>
      <c r="I47" s="607"/>
      <c r="J47" s="607"/>
      <c r="K47" s="607"/>
      <c r="L47" s="607"/>
      <c r="M47" s="607"/>
      <c r="N47" s="607"/>
      <c r="O47" s="607"/>
      <c r="P47" s="607"/>
      <c r="Q47" s="607"/>
      <c r="R47" s="607"/>
      <c r="S47" s="607"/>
      <c r="T47" s="607"/>
      <c r="U47" s="607"/>
      <c r="V47" s="607"/>
      <c r="W47" s="607"/>
      <c r="X47" s="607"/>
      <c r="Y47" s="607"/>
      <c r="Z47" s="295"/>
      <c r="AB47" s="291"/>
      <c r="AC47" s="291"/>
      <c r="AD47" s="291"/>
      <c r="AE47" s="291"/>
      <c r="AF47" s="291"/>
      <c r="AG47" s="291"/>
      <c r="AH47" s="291"/>
      <c r="AI47" s="291"/>
      <c r="AJ47" s="291"/>
    </row>
    <row r="48" spans="1:36" s="54" customFormat="1" ht="23.1" customHeight="1" x14ac:dyDescent="0.25">
      <c r="B48" s="607"/>
      <c r="C48" s="607"/>
      <c r="D48" s="607"/>
      <c r="E48" s="607"/>
      <c r="F48" s="607"/>
      <c r="G48" s="607"/>
      <c r="H48" s="607"/>
      <c r="I48" s="607"/>
      <c r="J48" s="607"/>
      <c r="K48" s="607"/>
      <c r="L48" s="607"/>
      <c r="M48" s="607"/>
      <c r="N48" s="607"/>
      <c r="O48" s="607"/>
      <c r="P48" s="607"/>
      <c r="Q48" s="607"/>
      <c r="R48" s="607"/>
      <c r="S48" s="607"/>
      <c r="T48" s="607"/>
      <c r="U48" s="607"/>
      <c r="V48" s="607"/>
      <c r="W48" s="607"/>
      <c r="X48" s="607"/>
      <c r="Y48" s="607"/>
      <c r="Z48" s="295"/>
      <c r="AB48" s="291"/>
      <c r="AC48" s="291"/>
      <c r="AD48" s="291"/>
      <c r="AE48" s="291"/>
      <c r="AF48" s="291"/>
      <c r="AG48" s="291"/>
      <c r="AH48" s="291"/>
      <c r="AI48" s="291"/>
      <c r="AJ48" s="291"/>
    </row>
    <row r="49" spans="2:36" s="54" customFormat="1" ht="23.1" customHeight="1" x14ac:dyDescent="0.25">
      <c r="B49" s="607"/>
      <c r="C49" s="607"/>
      <c r="D49" s="607"/>
      <c r="E49" s="607"/>
      <c r="F49" s="607"/>
      <c r="G49" s="607"/>
      <c r="H49" s="607"/>
      <c r="I49" s="607"/>
      <c r="J49" s="607"/>
      <c r="K49" s="607"/>
      <c r="L49" s="607"/>
      <c r="M49" s="607"/>
      <c r="N49" s="607"/>
      <c r="O49" s="607"/>
      <c r="P49" s="607"/>
      <c r="Q49" s="607"/>
      <c r="R49" s="607"/>
      <c r="S49" s="607"/>
      <c r="T49" s="607"/>
      <c r="U49" s="607"/>
      <c r="V49" s="607"/>
      <c r="W49" s="607"/>
      <c r="X49" s="607"/>
      <c r="Y49" s="607"/>
      <c r="Z49" s="295"/>
      <c r="AB49" s="291"/>
      <c r="AC49" s="291"/>
      <c r="AD49" s="291"/>
      <c r="AE49" s="291"/>
      <c r="AF49" s="291"/>
      <c r="AG49" s="291"/>
      <c r="AH49" s="291"/>
      <c r="AI49" s="291"/>
      <c r="AJ49" s="291"/>
    </row>
    <row r="50" spans="2:36" s="54" customFormat="1" ht="12.75" customHeight="1" x14ac:dyDescent="0.25">
      <c r="B50" s="290"/>
      <c r="C50" s="290"/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290"/>
      <c r="O50" s="290"/>
      <c r="P50" s="290"/>
      <c r="Q50" s="290"/>
      <c r="R50" s="290"/>
      <c r="S50" s="290"/>
      <c r="T50" s="290"/>
      <c r="U50" s="290"/>
      <c r="V50" s="290"/>
      <c r="W50" s="290"/>
      <c r="X50" s="290"/>
      <c r="Y50" s="290"/>
      <c r="Z50" s="295"/>
      <c r="AB50" s="291"/>
      <c r="AC50" s="291"/>
      <c r="AD50" s="291"/>
      <c r="AE50" s="291"/>
      <c r="AF50" s="291"/>
      <c r="AG50" s="291"/>
      <c r="AH50" s="291"/>
      <c r="AI50" s="291"/>
      <c r="AJ50" s="291"/>
    </row>
    <row r="51" spans="2:36" s="54" customFormat="1" x14ac:dyDescent="0.25">
      <c r="B51" s="290"/>
      <c r="C51" s="290"/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5"/>
      <c r="AB51" s="291"/>
      <c r="AC51" s="291"/>
      <c r="AD51" s="291"/>
      <c r="AE51" s="291"/>
      <c r="AF51" s="291"/>
      <c r="AG51" s="291"/>
      <c r="AH51" s="291"/>
      <c r="AI51" s="291"/>
      <c r="AJ51" s="291"/>
    </row>
    <row r="52" spans="2:36" s="54" customFormat="1" x14ac:dyDescent="0.25">
      <c r="B52" s="290"/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5"/>
      <c r="AB52" s="291"/>
      <c r="AC52" s="291"/>
      <c r="AD52" s="291"/>
      <c r="AE52" s="291"/>
      <c r="AF52" s="291"/>
      <c r="AG52" s="291"/>
      <c r="AH52" s="291"/>
      <c r="AI52" s="291"/>
      <c r="AJ52" s="291"/>
    </row>
    <row r="53" spans="2:36" s="54" customFormat="1" x14ac:dyDescent="0.25">
      <c r="B53" s="290"/>
      <c r="C53" s="290"/>
      <c r="D53" s="290"/>
      <c r="E53" s="290"/>
      <c r="F53" s="290"/>
      <c r="G53" s="290"/>
      <c r="H53" s="290"/>
      <c r="I53" s="290"/>
      <c r="J53" s="290"/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  <c r="W53" s="290"/>
      <c r="X53" s="290"/>
      <c r="Y53" s="290"/>
      <c r="Z53" s="295"/>
      <c r="AB53" s="291"/>
      <c r="AC53" s="291"/>
      <c r="AD53" s="291"/>
      <c r="AE53" s="291"/>
      <c r="AF53" s="291"/>
      <c r="AG53" s="291"/>
      <c r="AH53" s="291"/>
      <c r="AI53" s="291"/>
      <c r="AJ53" s="291"/>
    </row>
    <row r="54" spans="2:36" s="54" customFormat="1" x14ac:dyDescent="0.25">
      <c r="B54" s="290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5"/>
      <c r="AB54" s="291"/>
      <c r="AC54" s="291"/>
      <c r="AD54" s="291"/>
      <c r="AE54" s="291"/>
      <c r="AF54" s="291"/>
      <c r="AG54" s="291"/>
      <c r="AH54" s="291"/>
      <c r="AI54" s="291"/>
      <c r="AJ54" s="291"/>
    </row>
    <row r="55" spans="2:36" s="54" customFormat="1" x14ac:dyDescent="0.25">
      <c r="B55" s="290"/>
      <c r="C55" s="290"/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5"/>
      <c r="AB55" s="291"/>
      <c r="AC55" s="291"/>
      <c r="AD55" s="291"/>
      <c r="AE55" s="291"/>
      <c r="AF55" s="291"/>
      <c r="AG55" s="291"/>
      <c r="AH55" s="291"/>
      <c r="AI55" s="291"/>
      <c r="AJ55" s="291"/>
    </row>
    <row r="56" spans="2:36" s="54" customFormat="1" x14ac:dyDescent="0.25">
      <c r="B56" s="290"/>
      <c r="C56" s="290"/>
      <c r="D56" s="290"/>
      <c r="E56" s="290"/>
      <c r="F56" s="290"/>
      <c r="G56" s="290"/>
      <c r="H56" s="290"/>
      <c r="I56" s="290"/>
      <c r="J56" s="290"/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5"/>
      <c r="AB56" s="291"/>
      <c r="AC56" s="291"/>
      <c r="AD56" s="291"/>
      <c r="AE56" s="291"/>
      <c r="AF56" s="291"/>
      <c r="AG56" s="291"/>
      <c r="AH56" s="291"/>
      <c r="AI56" s="291"/>
      <c r="AJ56" s="291"/>
    </row>
    <row r="57" spans="2:36" s="54" customFormat="1" x14ac:dyDescent="0.25">
      <c r="B57" s="290"/>
      <c r="C57" s="290"/>
      <c r="D57" s="290"/>
      <c r="E57" s="290"/>
      <c r="F57" s="290"/>
      <c r="G57" s="290"/>
      <c r="H57" s="290"/>
      <c r="I57" s="290"/>
      <c r="J57" s="290"/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5"/>
      <c r="AB57" s="291"/>
      <c r="AC57" s="291"/>
      <c r="AD57" s="291"/>
      <c r="AE57" s="291"/>
      <c r="AF57" s="291"/>
      <c r="AG57" s="291"/>
      <c r="AH57" s="291"/>
      <c r="AI57" s="291"/>
      <c r="AJ57" s="291"/>
    </row>
    <row r="58" spans="2:36" s="54" customFormat="1" x14ac:dyDescent="0.25">
      <c r="B58" s="290"/>
      <c r="C58" s="290"/>
      <c r="D58" s="290"/>
      <c r="E58" s="290"/>
      <c r="F58" s="290"/>
      <c r="G58" s="290"/>
      <c r="H58" s="290"/>
      <c r="I58" s="290"/>
      <c r="J58" s="290"/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5"/>
      <c r="AB58" s="291"/>
      <c r="AC58" s="291"/>
      <c r="AD58" s="291"/>
      <c r="AE58" s="291"/>
      <c r="AF58" s="291"/>
      <c r="AG58" s="291"/>
      <c r="AH58" s="291"/>
      <c r="AI58" s="291"/>
      <c r="AJ58" s="291"/>
    </row>
    <row r="59" spans="2:36" s="54" customFormat="1" x14ac:dyDescent="0.25">
      <c r="B59" s="290"/>
      <c r="C59" s="290"/>
      <c r="D59" s="290"/>
      <c r="E59" s="290"/>
      <c r="F59" s="290"/>
      <c r="G59" s="290"/>
      <c r="H59" s="290"/>
      <c r="I59" s="290"/>
      <c r="J59" s="290"/>
      <c r="K59" s="290"/>
      <c r="L59" s="290"/>
      <c r="M59" s="290"/>
      <c r="N59" s="290"/>
      <c r="O59" s="290"/>
      <c r="P59" s="290"/>
      <c r="Q59" s="290"/>
      <c r="R59" s="290"/>
      <c r="S59" s="290"/>
      <c r="T59" s="290"/>
      <c r="U59" s="290"/>
      <c r="V59" s="290"/>
      <c r="W59" s="290"/>
      <c r="X59" s="290"/>
      <c r="Y59" s="290"/>
      <c r="Z59" s="295"/>
      <c r="AB59" s="291"/>
      <c r="AC59" s="291"/>
      <c r="AD59" s="291"/>
      <c r="AE59" s="291"/>
      <c r="AF59" s="291"/>
      <c r="AG59" s="291"/>
      <c r="AH59" s="291"/>
      <c r="AI59" s="291"/>
      <c r="AJ59" s="291"/>
    </row>
    <row r="60" spans="2:36" s="54" customFormat="1" x14ac:dyDescent="0.25">
      <c r="B60" s="290"/>
      <c r="C60" s="290"/>
      <c r="D60" s="290"/>
      <c r="E60" s="290"/>
      <c r="F60" s="290"/>
      <c r="G60" s="290"/>
      <c r="H60" s="290"/>
      <c r="I60" s="290"/>
      <c r="J60" s="290"/>
      <c r="K60" s="290"/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5"/>
      <c r="AB60" s="291"/>
      <c r="AC60" s="291"/>
      <c r="AD60" s="291"/>
      <c r="AE60" s="291"/>
      <c r="AF60" s="291"/>
      <c r="AG60" s="291"/>
      <c r="AH60" s="291"/>
      <c r="AI60" s="291"/>
      <c r="AJ60" s="291"/>
    </row>
    <row r="61" spans="2:36" s="54" customFormat="1" x14ac:dyDescent="0.25"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5"/>
      <c r="AB61" s="291"/>
      <c r="AC61" s="291"/>
      <c r="AD61" s="291"/>
      <c r="AE61" s="291"/>
      <c r="AF61" s="291"/>
      <c r="AG61" s="291"/>
      <c r="AH61" s="291"/>
      <c r="AI61" s="291"/>
      <c r="AJ61" s="291"/>
    </row>
    <row r="62" spans="2:36" s="54" customFormat="1" x14ac:dyDescent="0.25">
      <c r="B62" s="290"/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  <c r="R62" s="290"/>
      <c r="S62" s="290"/>
      <c r="T62" s="290"/>
      <c r="U62" s="290"/>
      <c r="V62" s="290"/>
      <c r="W62" s="290"/>
      <c r="X62" s="290"/>
      <c r="Y62" s="290"/>
      <c r="Z62" s="295"/>
      <c r="AB62" s="291"/>
      <c r="AC62" s="291"/>
      <c r="AD62" s="291"/>
      <c r="AE62" s="291"/>
      <c r="AF62" s="291"/>
      <c r="AG62" s="291"/>
      <c r="AH62" s="291"/>
      <c r="AI62" s="291"/>
      <c r="AJ62" s="291"/>
    </row>
    <row r="63" spans="2:36" s="54" customFormat="1" x14ac:dyDescent="0.25">
      <c r="B63" s="290"/>
      <c r="C63" s="290"/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  <c r="R63" s="290"/>
      <c r="S63" s="290"/>
      <c r="T63" s="290"/>
      <c r="U63" s="290"/>
      <c r="V63" s="290"/>
      <c r="W63" s="290"/>
      <c r="X63" s="290"/>
      <c r="Y63" s="290"/>
      <c r="Z63" s="295"/>
      <c r="AB63" s="291"/>
      <c r="AC63" s="291"/>
      <c r="AD63" s="291"/>
      <c r="AE63" s="291"/>
      <c r="AF63" s="291"/>
      <c r="AG63" s="291"/>
      <c r="AH63" s="291"/>
      <c r="AI63" s="291"/>
      <c r="AJ63" s="291"/>
    </row>
    <row r="64" spans="2:36" s="54" customFormat="1" x14ac:dyDescent="0.25">
      <c r="B64" s="290"/>
      <c r="C64" s="290"/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0"/>
      <c r="O64" s="290"/>
      <c r="P64" s="290"/>
      <c r="Q64" s="290"/>
      <c r="R64" s="290"/>
      <c r="S64" s="290"/>
      <c r="T64" s="290"/>
      <c r="U64" s="290"/>
      <c r="V64" s="290"/>
      <c r="W64" s="290"/>
      <c r="X64" s="290"/>
      <c r="Y64" s="290"/>
      <c r="Z64" s="295"/>
      <c r="AB64" s="291"/>
      <c r="AC64" s="291"/>
      <c r="AD64" s="291"/>
      <c r="AE64" s="291"/>
      <c r="AF64" s="291"/>
      <c r="AG64" s="291"/>
      <c r="AH64" s="291"/>
      <c r="AI64" s="291"/>
      <c r="AJ64" s="291"/>
    </row>
    <row r="65" spans="2:36" s="54" customFormat="1" x14ac:dyDescent="0.25">
      <c r="B65" s="290"/>
      <c r="C65" s="290"/>
      <c r="D65" s="290"/>
      <c r="E65" s="290"/>
      <c r="F65" s="290"/>
      <c r="G65" s="290"/>
      <c r="H65" s="290"/>
      <c r="I65" s="290"/>
      <c r="J65" s="290"/>
      <c r="K65" s="290"/>
      <c r="L65" s="290"/>
      <c r="M65" s="290"/>
      <c r="N65" s="290"/>
      <c r="O65" s="290"/>
      <c r="P65" s="290"/>
      <c r="Q65" s="290"/>
      <c r="R65" s="290"/>
      <c r="S65" s="290"/>
      <c r="T65" s="290"/>
      <c r="U65" s="290"/>
      <c r="V65" s="290"/>
      <c r="W65" s="290"/>
      <c r="X65" s="290"/>
      <c r="Y65" s="290"/>
      <c r="Z65" s="295"/>
      <c r="AB65" s="291"/>
      <c r="AC65" s="291"/>
      <c r="AD65" s="291"/>
      <c r="AE65" s="291"/>
      <c r="AF65" s="291"/>
      <c r="AG65" s="291"/>
      <c r="AH65" s="291"/>
      <c r="AI65" s="291"/>
      <c r="AJ65" s="291"/>
    </row>
    <row r="66" spans="2:36" s="54" customFormat="1" x14ac:dyDescent="0.25">
      <c r="B66" s="290"/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290"/>
      <c r="T66" s="290"/>
      <c r="U66" s="290"/>
      <c r="V66" s="290"/>
      <c r="W66" s="290"/>
      <c r="X66" s="290"/>
      <c r="Y66" s="290"/>
      <c r="Z66" s="295"/>
      <c r="AB66" s="291"/>
      <c r="AC66" s="291"/>
      <c r="AD66" s="291"/>
      <c r="AE66" s="291"/>
      <c r="AF66" s="291"/>
      <c r="AG66" s="291"/>
      <c r="AH66" s="291"/>
      <c r="AI66" s="291"/>
      <c r="AJ66" s="291"/>
    </row>
    <row r="67" spans="2:36" s="54" customFormat="1" x14ac:dyDescent="0.25"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0"/>
      <c r="T67" s="290"/>
      <c r="U67" s="290"/>
      <c r="V67" s="290"/>
      <c r="W67" s="290"/>
      <c r="X67" s="290"/>
      <c r="Y67" s="290"/>
      <c r="Z67" s="295"/>
      <c r="AB67" s="291"/>
      <c r="AC67" s="291"/>
      <c r="AD67" s="291"/>
      <c r="AE67" s="291"/>
      <c r="AF67" s="291"/>
      <c r="AG67" s="291"/>
      <c r="AH67" s="291"/>
      <c r="AI67" s="291"/>
      <c r="AJ67" s="291"/>
    </row>
    <row r="68" spans="2:36" s="54" customFormat="1" x14ac:dyDescent="0.25">
      <c r="B68" s="290"/>
      <c r="C68" s="290"/>
      <c r="D68" s="290"/>
      <c r="E68" s="290"/>
      <c r="F68" s="290"/>
      <c r="G68" s="290"/>
      <c r="H68" s="290"/>
      <c r="I68" s="290"/>
      <c r="J68" s="290"/>
      <c r="K68" s="290"/>
      <c r="L68" s="290"/>
      <c r="M68" s="290"/>
      <c r="N68" s="290"/>
      <c r="O68" s="290"/>
      <c r="P68" s="290"/>
      <c r="Q68" s="290"/>
      <c r="R68" s="290"/>
      <c r="S68" s="290"/>
      <c r="T68" s="290"/>
      <c r="U68" s="290"/>
      <c r="V68" s="290"/>
      <c r="W68" s="290"/>
      <c r="X68" s="290"/>
      <c r="Y68" s="290"/>
      <c r="Z68" s="295"/>
      <c r="AB68" s="291"/>
      <c r="AC68" s="291"/>
      <c r="AD68" s="291"/>
      <c r="AE68" s="291"/>
      <c r="AF68" s="291"/>
      <c r="AG68" s="291"/>
      <c r="AH68" s="291"/>
      <c r="AI68" s="291"/>
      <c r="AJ68" s="291"/>
    </row>
    <row r="69" spans="2:36" s="54" customFormat="1" x14ac:dyDescent="0.25">
      <c r="Z69" s="295"/>
      <c r="AB69" s="291"/>
      <c r="AC69" s="291"/>
      <c r="AD69" s="291"/>
      <c r="AE69" s="291"/>
      <c r="AF69" s="291"/>
      <c r="AG69" s="291"/>
      <c r="AH69" s="291"/>
      <c r="AI69" s="291"/>
      <c r="AJ69" s="291"/>
    </row>
    <row r="70" spans="2:36" s="54" customFormat="1" x14ac:dyDescent="0.25">
      <c r="Z70" s="295"/>
      <c r="AB70" s="291"/>
      <c r="AC70" s="291"/>
      <c r="AD70" s="291"/>
      <c r="AE70" s="291"/>
      <c r="AF70" s="291"/>
      <c r="AG70" s="291"/>
      <c r="AH70" s="291"/>
      <c r="AI70" s="291"/>
      <c r="AJ70" s="291"/>
    </row>
    <row r="71" spans="2:36" s="54" customFormat="1" x14ac:dyDescent="0.25">
      <c r="Z71" s="295"/>
      <c r="AB71" s="291"/>
      <c r="AC71" s="291"/>
      <c r="AD71" s="291"/>
      <c r="AE71" s="291"/>
      <c r="AF71" s="291"/>
      <c r="AG71" s="291"/>
      <c r="AH71" s="291"/>
      <c r="AI71" s="291"/>
      <c r="AJ71" s="291"/>
    </row>
    <row r="72" spans="2:36" s="54" customFormat="1" x14ac:dyDescent="0.25">
      <c r="Z72" s="295"/>
      <c r="AB72" s="291"/>
      <c r="AC72" s="291"/>
      <c r="AD72" s="291"/>
      <c r="AE72" s="291"/>
      <c r="AF72" s="291"/>
      <c r="AG72" s="291"/>
      <c r="AH72" s="291"/>
      <c r="AI72" s="291"/>
      <c r="AJ72" s="291"/>
    </row>
    <row r="73" spans="2:36" s="54" customFormat="1" x14ac:dyDescent="0.25">
      <c r="Z73" s="295"/>
      <c r="AB73" s="291"/>
      <c r="AC73" s="291"/>
      <c r="AD73" s="291"/>
      <c r="AE73" s="291"/>
      <c r="AF73" s="291"/>
      <c r="AG73" s="291"/>
      <c r="AH73" s="291"/>
      <c r="AI73" s="291"/>
      <c r="AJ73" s="291"/>
    </row>
    <row r="74" spans="2:36" s="54" customFormat="1" x14ac:dyDescent="0.25">
      <c r="Z74" s="295"/>
      <c r="AB74" s="291"/>
      <c r="AC74" s="291"/>
      <c r="AD74" s="291"/>
      <c r="AE74" s="291"/>
      <c r="AF74" s="291"/>
      <c r="AG74" s="291"/>
      <c r="AH74" s="291"/>
      <c r="AI74" s="291"/>
      <c r="AJ74" s="291"/>
    </row>
  </sheetData>
  <mergeCells count="31">
    <mergeCell ref="B35:Y35"/>
    <mergeCell ref="B36:Y36"/>
    <mergeCell ref="B37:Y37"/>
    <mergeCell ref="B46:Y46"/>
    <mergeCell ref="B47:Y49"/>
    <mergeCell ref="B34:Y34"/>
    <mergeCell ref="I23:L23"/>
    <mergeCell ref="I24:L24"/>
    <mergeCell ref="I25:L25"/>
    <mergeCell ref="I26:L26"/>
    <mergeCell ref="I27:L27"/>
    <mergeCell ref="I28:L28"/>
    <mergeCell ref="I29:L29"/>
    <mergeCell ref="I30:L30"/>
    <mergeCell ref="I31:L31"/>
    <mergeCell ref="P31:V31"/>
    <mergeCell ref="P33:V33"/>
    <mergeCell ref="I22:L22"/>
    <mergeCell ref="B1:Y6"/>
    <mergeCell ref="B13:F13"/>
    <mergeCell ref="G13:Y13"/>
    <mergeCell ref="B14:F14"/>
    <mergeCell ref="G14:Y14"/>
    <mergeCell ref="B15:F15"/>
    <mergeCell ref="G15:Y15"/>
    <mergeCell ref="B16:F16"/>
    <mergeCell ref="G16:I16"/>
    <mergeCell ref="E20:H21"/>
    <mergeCell ref="I20:L21"/>
    <mergeCell ref="P20:V20"/>
    <mergeCell ref="D11:S11"/>
  </mergeCells>
  <conditionalFormatting sqref="G14:Y15">
    <cfRule type="cellIs" dxfId="3" priority="2" stopIfTrue="1" operator="equal">
      <formula>0</formula>
    </cfRule>
  </conditionalFormatting>
  <conditionalFormatting sqref="I22:I28">
    <cfRule type="cellIs" dxfId="2" priority="1" stopIfTrue="1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7" orientation="portrait" r:id="rId1"/>
  <headerFooter>
    <oddFooter>&amp;L&amp;"Arial Narrow,Normal"&amp;10&amp;A
&amp;F&amp;R&amp;"Arial Narrow,Normal"&amp;10Página &amp;P de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AU74"/>
  <sheetViews>
    <sheetView showGridLines="0" view="pageBreakPreview" zoomScaleNormal="100" zoomScaleSheetLayoutView="100" workbookViewId="0">
      <selection activeCell="AR42" sqref="AR42"/>
    </sheetView>
  </sheetViews>
  <sheetFormatPr defaultColWidth="3.5703125" defaultRowHeight="12.75" x14ac:dyDescent="0.25"/>
  <cols>
    <col min="1" max="1" width="1.5703125" style="262" customWidth="1"/>
    <col min="2" max="2" width="5.42578125" style="262" customWidth="1"/>
    <col min="3" max="3" width="2.5703125" style="262" customWidth="1"/>
    <col min="4" max="5" width="5.42578125" style="262" customWidth="1"/>
    <col min="6" max="6" width="10.42578125" style="262" customWidth="1"/>
    <col min="7" max="14" width="6.5703125" style="262" customWidth="1"/>
    <col min="15" max="15" width="4.42578125" style="262" customWidth="1"/>
    <col min="16" max="22" width="5.5703125" style="262" customWidth="1"/>
    <col min="23" max="24" width="4.42578125" style="262" customWidth="1"/>
    <col min="25" max="25" width="8.42578125" style="262" customWidth="1"/>
    <col min="26" max="26" width="1.5703125" style="295" customWidth="1"/>
    <col min="27" max="27" width="3.5703125" style="262" customWidth="1"/>
    <col min="28" max="28" width="19.42578125" style="265" customWidth="1"/>
    <col min="29" max="29" width="8.5703125" style="265" customWidth="1"/>
    <col min="30" max="31" width="9.140625" style="265" customWidth="1"/>
    <col min="32" max="32" width="3.5703125" style="265"/>
    <col min="33" max="33" width="10.85546875" style="265" hidden="1" customWidth="1"/>
    <col min="34" max="34" width="7" style="265" hidden="1" customWidth="1"/>
    <col min="35" max="36" width="3.5703125" style="265"/>
    <col min="37" max="41" width="3.5703125" style="262"/>
    <col min="42" max="42" width="5.5703125" style="262" bestFit="1" customWidth="1"/>
    <col min="43" max="44" width="3.5703125" style="262"/>
    <col min="45" max="45" width="6.5703125" style="262" bestFit="1" customWidth="1"/>
    <col min="46" max="46" width="3.5703125" style="262"/>
    <col min="47" max="47" width="5.5703125" style="262" bestFit="1" customWidth="1"/>
    <col min="48" max="259" width="3.5703125" style="262"/>
    <col min="260" max="260" width="11.42578125" style="262" customWidth="1"/>
    <col min="261" max="261" width="1.85546875" style="262" customWidth="1"/>
    <col min="262" max="265" width="5.42578125" style="262" customWidth="1"/>
    <col min="266" max="266" width="10.42578125" style="262" customWidth="1"/>
    <col min="267" max="267" width="7.85546875" style="262" customWidth="1"/>
    <col min="268" max="268" width="8.85546875" style="262" customWidth="1"/>
    <col min="269" max="269" width="8.42578125" style="262" customWidth="1"/>
    <col min="270" max="270" width="4.42578125" style="262" customWidth="1"/>
    <col min="271" max="272" width="4.140625" style="262" customWidth="1"/>
    <col min="273" max="273" width="6.85546875" style="262" customWidth="1"/>
    <col min="274" max="274" width="4.140625" style="262" customWidth="1"/>
    <col min="275" max="280" width="4.42578125" style="262" customWidth="1"/>
    <col min="281" max="281" width="7" style="262" customWidth="1"/>
    <col min="282" max="282" width="0" style="262" hidden="1" customWidth="1"/>
    <col min="283" max="286" width="3.5703125" style="262" customWidth="1"/>
    <col min="287" max="288" width="3.5703125" style="262"/>
    <col min="289" max="290" width="0" style="262" hidden="1" customWidth="1"/>
    <col min="291" max="297" width="3.5703125" style="262"/>
    <col min="298" max="298" width="5.5703125" style="262" bestFit="1" customWidth="1"/>
    <col min="299" max="300" width="3.5703125" style="262"/>
    <col min="301" max="301" width="6.5703125" style="262" bestFit="1" customWidth="1"/>
    <col min="302" max="302" width="3.5703125" style="262"/>
    <col min="303" max="303" width="5.5703125" style="262" bestFit="1" customWidth="1"/>
    <col min="304" max="515" width="3.5703125" style="262"/>
    <col min="516" max="516" width="11.42578125" style="262" customWidth="1"/>
    <col min="517" max="517" width="1.85546875" style="262" customWidth="1"/>
    <col min="518" max="521" width="5.42578125" style="262" customWidth="1"/>
    <col min="522" max="522" width="10.42578125" style="262" customWidth="1"/>
    <col min="523" max="523" width="7.85546875" style="262" customWidth="1"/>
    <col min="524" max="524" width="8.85546875" style="262" customWidth="1"/>
    <col min="525" max="525" width="8.42578125" style="262" customWidth="1"/>
    <col min="526" max="526" width="4.42578125" style="262" customWidth="1"/>
    <col min="527" max="528" width="4.140625" style="262" customWidth="1"/>
    <col min="529" max="529" width="6.85546875" style="262" customWidth="1"/>
    <col min="530" max="530" width="4.140625" style="262" customWidth="1"/>
    <col min="531" max="536" width="4.42578125" style="262" customWidth="1"/>
    <col min="537" max="537" width="7" style="262" customWidth="1"/>
    <col min="538" max="538" width="0" style="262" hidden="1" customWidth="1"/>
    <col min="539" max="542" width="3.5703125" style="262" customWidth="1"/>
    <col min="543" max="544" width="3.5703125" style="262"/>
    <col min="545" max="546" width="0" style="262" hidden="1" customWidth="1"/>
    <col min="547" max="553" width="3.5703125" style="262"/>
    <col min="554" max="554" width="5.5703125" style="262" bestFit="1" customWidth="1"/>
    <col min="555" max="556" width="3.5703125" style="262"/>
    <col min="557" max="557" width="6.5703125" style="262" bestFit="1" customWidth="1"/>
    <col min="558" max="558" width="3.5703125" style="262"/>
    <col min="559" max="559" width="5.5703125" style="262" bestFit="1" customWidth="1"/>
    <col min="560" max="771" width="3.5703125" style="262"/>
    <col min="772" max="772" width="11.42578125" style="262" customWidth="1"/>
    <col min="773" max="773" width="1.85546875" style="262" customWidth="1"/>
    <col min="774" max="777" width="5.42578125" style="262" customWidth="1"/>
    <col min="778" max="778" width="10.42578125" style="262" customWidth="1"/>
    <col min="779" max="779" width="7.85546875" style="262" customWidth="1"/>
    <col min="780" max="780" width="8.85546875" style="262" customWidth="1"/>
    <col min="781" max="781" width="8.42578125" style="262" customWidth="1"/>
    <col min="782" max="782" width="4.42578125" style="262" customWidth="1"/>
    <col min="783" max="784" width="4.140625" style="262" customWidth="1"/>
    <col min="785" max="785" width="6.85546875" style="262" customWidth="1"/>
    <col min="786" max="786" width="4.140625" style="262" customWidth="1"/>
    <col min="787" max="792" width="4.42578125" style="262" customWidth="1"/>
    <col min="793" max="793" width="7" style="262" customWidth="1"/>
    <col min="794" max="794" width="0" style="262" hidden="1" customWidth="1"/>
    <col min="795" max="798" width="3.5703125" style="262" customWidth="1"/>
    <col min="799" max="800" width="3.5703125" style="262"/>
    <col min="801" max="802" width="0" style="262" hidden="1" customWidth="1"/>
    <col min="803" max="809" width="3.5703125" style="262"/>
    <col min="810" max="810" width="5.5703125" style="262" bestFit="1" customWidth="1"/>
    <col min="811" max="812" width="3.5703125" style="262"/>
    <col min="813" max="813" width="6.5703125" style="262" bestFit="1" customWidth="1"/>
    <col min="814" max="814" width="3.5703125" style="262"/>
    <col min="815" max="815" width="5.5703125" style="262" bestFit="1" customWidth="1"/>
    <col min="816" max="1027" width="3.5703125" style="262"/>
    <col min="1028" max="1028" width="11.42578125" style="262" customWidth="1"/>
    <col min="1029" max="1029" width="1.85546875" style="262" customWidth="1"/>
    <col min="1030" max="1033" width="5.42578125" style="262" customWidth="1"/>
    <col min="1034" max="1034" width="10.42578125" style="262" customWidth="1"/>
    <col min="1035" max="1035" width="7.85546875" style="262" customWidth="1"/>
    <col min="1036" max="1036" width="8.85546875" style="262" customWidth="1"/>
    <col min="1037" max="1037" width="8.42578125" style="262" customWidth="1"/>
    <col min="1038" max="1038" width="4.42578125" style="262" customWidth="1"/>
    <col min="1039" max="1040" width="4.140625" style="262" customWidth="1"/>
    <col min="1041" max="1041" width="6.85546875" style="262" customWidth="1"/>
    <col min="1042" max="1042" width="4.140625" style="262" customWidth="1"/>
    <col min="1043" max="1048" width="4.42578125" style="262" customWidth="1"/>
    <col min="1049" max="1049" width="7" style="262" customWidth="1"/>
    <col min="1050" max="1050" width="0" style="262" hidden="1" customWidth="1"/>
    <col min="1051" max="1054" width="3.5703125" style="262" customWidth="1"/>
    <col min="1055" max="1056" width="3.5703125" style="262"/>
    <col min="1057" max="1058" width="0" style="262" hidden="1" customWidth="1"/>
    <col min="1059" max="1065" width="3.5703125" style="262"/>
    <col min="1066" max="1066" width="5.5703125" style="262" bestFit="1" customWidth="1"/>
    <col min="1067" max="1068" width="3.5703125" style="262"/>
    <col min="1069" max="1069" width="6.5703125" style="262" bestFit="1" customWidth="1"/>
    <col min="1070" max="1070" width="3.5703125" style="262"/>
    <col min="1071" max="1071" width="5.5703125" style="262" bestFit="1" customWidth="1"/>
    <col min="1072" max="1283" width="3.5703125" style="262"/>
    <col min="1284" max="1284" width="11.42578125" style="262" customWidth="1"/>
    <col min="1285" max="1285" width="1.85546875" style="262" customWidth="1"/>
    <col min="1286" max="1289" width="5.42578125" style="262" customWidth="1"/>
    <col min="1290" max="1290" width="10.42578125" style="262" customWidth="1"/>
    <col min="1291" max="1291" width="7.85546875" style="262" customWidth="1"/>
    <col min="1292" max="1292" width="8.85546875" style="262" customWidth="1"/>
    <col min="1293" max="1293" width="8.42578125" style="262" customWidth="1"/>
    <col min="1294" max="1294" width="4.42578125" style="262" customWidth="1"/>
    <col min="1295" max="1296" width="4.140625" style="262" customWidth="1"/>
    <col min="1297" max="1297" width="6.85546875" style="262" customWidth="1"/>
    <col min="1298" max="1298" width="4.140625" style="262" customWidth="1"/>
    <col min="1299" max="1304" width="4.42578125" style="262" customWidth="1"/>
    <col min="1305" max="1305" width="7" style="262" customWidth="1"/>
    <col min="1306" max="1306" width="0" style="262" hidden="1" customWidth="1"/>
    <col min="1307" max="1310" width="3.5703125" style="262" customWidth="1"/>
    <col min="1311" max="1312" width="3.5703125" style="262"/>
    <col min="1313" max="1314" width="0" style="262" hidden="1" customWidth="1"/>
    <col min="1315" max="1321" width="3.5703125" style="262"/>
    <col min="1322" max="1322" width="5.5703125" style="262" bestFit="1" customWidth="1"/>
    <col min="1323" max="1324" width="3.5703125" style="262"/>
    <col min="1325" max="1325" width="6.5703125" style="262" bestFit="1" customWidth="1"/>
    <col min="1326" max="1326" width="3.5703125" style="262"/>
    <col min="1327" max="1327" width="5.5703125" style="262" bestFit="1" customWidth="1"/>
    <col min="1328" max="1539" width="3.5703125" style="262"/>
    <col min="1540" max="1540" width="11.42578125" style="262" customWidth="1"/>
    <col min="1541" max="1541" width="1.85546875" style="262" customWidth="1"/>
    <col min="1542" max="1545" width="5.42578125" style="262" customWidth="1"/>
    <col min="1546" max="1546" width="10.42578125" style="262" customWidth="1"/>
    <col min="1547" max="1547" width="7.85546875" style="262" customWidth="1"/>
    <col min="1548" max="1548" width="8.85546875" style="262" customWidth="1"/>
    <col min="1549" max="1549" width="8.42578125" style="262" customWidth="1"/>
    <col min="1550" max="1550" width="4.42578125" style="262" customWidth="1"/>
    <col min="1551" max="1552" width="4.140625" style="262" customWidth="1"/>
    <col min="1553" max="1553" width="6.85546875" style="262" customWidth="1"/>
    <col min="1554" max="1554" width="4.140625" style="262" customWidth="1"/>
    <col min="1555" max="1560" width="4.42578125" style="262" customWidth="1"/>
    <col min="1561" max="1561" width="7" style="262" customWidth="1"/>
    <col min="1562" max="1562" width="0" style="262" hidden="1" customWidth="1"/>
    <col min="1563" max="1566" width="3.5703125" style="262" customWidth="1"/>
    <col min="1567" max="1568" width="3.5703125" style="262"/>
    <col min="1569" max="1570" width="0" style="262" hidden="1" customWidth="1"/>
    <col min="1571" max="1577" width="3.5703125" style="262"/>
    <col min="1578" max="1578" width="5.5703125" style="262" bestFit="1" customWidth="1"/>
    <col min="1579" max="1580" width="3.5703125" style="262"/>
    <col min="1581" max="1581" width="6.5703125" style="262" bestFit="1" customWidth="1"/>
    <col min="1582" max="1582" width="3.5703125" style="262"/>
    <col min="1583" max="1583" width="5.5703125" style="262" bestFit="1" customWidth="1"/>
    <col min="1584" max="1795" width="3.5703125" style="262"/>
    <col min="1796" max="1796" width="11.42578125" style="262" customWidth="1"/>
    <col min="1797" max="1797" width="1.85546875" style="262" customWidth="1"/>
    <col min="1798" max="1801" width="5.42578125" style="262" customWidth="1"/>
    <col min="1802" max="1802" width="10.42578125" style="262" customWidth="1"/>
    <col min="1803" max="1803" width="7.85546875" style="262" customWidth="1"/>
    <col min="1804" max="1804" width="8.85546875" style="262" customWidth="1"/>
    <col min="1805" max="1805" width="8.42578125" style="262" customWidth="1"/>
    <col min="1806" max="1806" width="4.42578125" style="262" customWidth="1"/>
    <col min="1807" max="1808" width="4.140625" style="262" customWidth="1"/>
    <col min="1809" max="1809" width="6.85546875" style="262" customWidth="1"/>
    <col min="1810" max="1810" width="4.140625" style="262" customWidth="1"/>
    <col min="1811" max="1816" width="4.42578125" style="262" customWidth="1"/>
    <col min="1817" max="1817" width="7" style="262" customWidth="1"/>
    <col min="1818" max="1818" width="0" style="262" hidden="1" customWidth="1"/>
    <col min="1819" max="1822" width="3.5703125" style="262" customWidth="1"/>
    <col min="1823" max="1824" width="3.5703125" style="262"/>
    <col min="1825" max="1826" width="0" style="262" hidden="1" customWidth="1"/>
    <col min="1827" max="1833" width="3.5703125" style="262"/>
    <col min="1834" max="1834" width="5.5703125" style="262" bestFit="1" customWidth="1"/>
    <col min="1835" max="1836" width="3.5703125" style="262"/>
    <col min="1837" max="1837" width="6.5703125" style="262" bestFit="1" customWidth="1"/>
    <col min="1838" max="1838" width="3.5703125" style="262"/>
    <col min="1839" max="1839" width="5.5703125" style="262" bestFit="1" customWidth="1"/>
    <col min="1840" max="2051" width="3.5703125" style="262"/>
    <col min="2052" max="2052" width="11.42578125" style="262" customWidth="1"/>
    <col min="2053" max="2053" width="1.85546875" style="262" customWidth="1"/>
    <col min="2054" max="2057" width="5.42578125" style="262" customWidth="1"/>
    <col min="2058" max="2058" width="10.42578125" style="262" customWidth="1"/>
    <col min="2059" max="2059" width="7.85546875" style="262" customWidth="1"/>
    <col min="2060" max="2060" width="8.85546875" style="262" customWidth="1"/>
    <col min="2061" max="2061" width="8.42578125" style="262" customWidth="1"/>
    <col min="2062" max="2062" width="4.42578125" style="262" customWidth="1"/>
    <col min="2063" max="2064" width="4.140625" style="262" customWidth="1"/>
    <col min="2065" max="2065" width="6.85546875" style="262" customWidth="1"/>
    <col min="2066" max="2066" width="4.140625" style="262" customWidth="1"/>
    <col min="2067" max="2072" width="4.42578125" style="262" customWidth="1"/>
    <col min="2073" max="2073" width="7" style="262" customWidth="1"/>
    <col min="2074" max="2074" width="0" style="262" hidden="1" customWidth="1"/>
    <col min="2075" max="2078" width="3.5703125" style="262" customWidth="1"/>
    <col min="2079" max="2080" width="3.5703125" style="262"/>
    <col min="2081" max="2082" width="0" style="262" hidden="1" customWidth="1"/>
    <col min="2083" max="2089" width="3.5703125" style="262"/>
    <col min="2090" max="2090" width="5.5703125" style="262" bestFit="1" customWidth="1"/>
    <col min="2091" max="2092" width="3.5703125" style="262"/>
    <col min="2093" max="2093" width="6.5703125" style="262" bestFit="1" customWidth="1"/>
    <col min="2094" max="2094" width="3.5703125" style="262"/>
    <col min="2095" max="2095" width="5.5703125" style="262" bestFit="1" customWidth="1"/>
    <col min="2096" max="2307" width="3.5703125" style="262"/>
    <col min="2308" max="2308" width="11.42578125" style="262" customWidth="1"/>
    <col min="2309" max="2309" width="1.85546875" style="262" customWidth="1"/>
    <col min="2310" max="2313" width="5.42578125" style="262" customWidth="1"/>
    <col min="2314" max="2314" width="10.42578125" style="262" customWidth="1"/>
    <col min="2315" max="2315" width="7.85546875" style="262" customWidth="1"/>
    <col min="2316" max="2316" width="8.85546875" style="262" customWidth="1"/>
    <col min="2317" max="2317" width="8.42578125" style="262" customWidth="1"/>
    <col min="2318" max="2318" width="4.42578125" style="262" customWidth="1"/>
    <col min="2319" max="2320" width="4.140625" style="262" customWidth="1"/>
    <col min="2321" max="2321" width="6.85546875" style="262" customWidth="1"/>
    <col min="2322" max="2322" width="4.140625" style="262" customWidth="1"/>
    <col min="2323" max="2328" width="4.42578125" style="262" customWidth="1"/>
    <col min="2329" max="2329" width="7" style="262" customWidth="1"/>
    <col min="2330" max="2330" width="0" style="262" hidden="1" customWidth="1"/>
    <col min="2331" max="2334" width="3.5703125" style="262" customWidth="1"/>
    <col min="2335" max="2336" width="3.5703125" style="262"/>
    <col min="2337" max="2338" width="0" style="262" hidden="1" customWidth="1"/>
    <col min="2339" max="2345" width="3.5703125" style="262"/>
    <col min="2346" max="2346" width="5.5703125" style="262" bestFit="1" customWidth="1"/>
    <col min="2347" max="2348" width="3.5703125" style="262"/>
    <col min="2349" max="2349" width="6.5703125" style="262" bestFit="1" customWidth="1"/>
    <col min="2350" max="2350" width="3.5703125" style="262"/>
    <col min="2351" max="2351" width="5.5703125" style="262" bestFit="1" customWidth="1"/>
    <col min="2352" max="2563" width="3.5703125" style="262"/>
    <col min="2564" max="2564" width="11.42578125" style="262" customWidth="1"/>
    <col min="2565" max="2565" width="1.85546875" style="262" customWidth="1"/>
    <col min="2566" max="2569" width="5.42578125" style="262" customWidth="1"/>
    <col min="2570" max="2570" width="10.42578125" style="262" customWidth="1"/>
    <col min="2571" max="2571" width="7.85546875" style="262" customWidth="1"/>
    <col min="2572" max="2572" width="8.85546875" style="262" customWidth="1"/>
    <col min="2573" max="2573" width="8.42578125" style="262" customWidth="1"/>
    <col min="2574" max="2574" width="4.42578125" style="262" customWidth="1"/>
    <col min="2575" max="2576" width="4.140625" style="262" customWidth="1"/>
    <col min="2577" max="2577" width="6.85546875" style="262" customWidth="1"/>
    <col min="2578" max="2578" width="4.140625" style="262" customWidth="1"/>
    <col min="2579" max="2584" width="4.42578125" style="262" customWidth="1"/>
    <col min="2585" max="2585" width="7" style="262" customWidth="1"/>
    <col min="2586" max="2586" width="0" style="262" hidden="1" customWidth="1"/>
    <col min="2587" max="2590" width="3.5703125" style="262" customWidth="1"/>
    <col min="2591" max="2592" width="3.5703125" style="262"/>
    <col min="2593" max="2594" width="0" style="262" hidden="1" customWidth="1"/>
    <col min="2595" max="2601" width="3.5703125" style="262"/>
    <col min="2602" max="2602" width="5.5703125" style="262" bestFit="1" customWidth="1"/>
    <col min="2603" max="2604" width="3.5703125" style="262"/>
    <col min="2605" max="2605" width="6.5703125" style="262" bestFit="1" customWidth="1"/>
    <col min="2606" max="2606" width="3.5703125" style="262"/>
    <col min="2607" max="2607" width="5.5703125" style="262" bestFit="1" customWidth="1"/>
    <col min="2608" max="2819" width="3.5703125" style="262"/>
    <col min="2820" max="2820" width="11.42578125" style="262" customWidth="1"/>
    <col min="2821" max="2821" width="1.85546875" style="262" customWidth="1"/>
    <col min="2822" max="2825" width="5.42578125" style="262" customWidth="1"/>
    <col min="2826" max="2826" width="10.42578125" style="262" customWidth="1"/>
    <col min="2827" max="2827" width="7.85546875" style="262" customWidth="1"/>
    <col min="2828" max="2828" width="8.85546875" style="262" customWidth="1"/>
    <col min="2829" max="2829" width="8.42578125" style="262" customWidth="1"/>
    <col min="2830" max="2830" width="4.42578125" style="262" customWidth="1"/>
    <col min="2831" max="2832" width="4.140625" style="262" customWidth="1"/>
    <col min="2833" max="2833" width="6.85546875" style="262" customWidth="1"/>
    <col min="2834" max="2834" width="4.140625" style="262" customWidth="1"/>
    <col min="2835" max="2840" width="4.42578125" style="262" customWidth="1"/>
    <col min="2841" max="2841" width="7" style="262" customWidth="1"/>
    <col min="2842" max="2842" width="0" style="262" hidden="1" customWidth="1"/>
    <col min="2843" max="2846" width="3.5703125" style="262" customWidth="1"/>
    <col min="2847" max="2848" width="3.5703125" style="262"/>
    <col min="2849" max="2850" width="0" style="262" hidden="1" customWidth="1"/>
    <col min="2851" max="2857" width="3.5703125" style="262"/>
    <col min="2858" max="2858" width="5.5703125" style="262" bestFit="1" customWidth="1"/>
    <col min="2859" max="2860" width="3.5703125" style="262"/>
    <col min="2861" max="2861" width="6.5703125" style="262" bestFit="1" customWidth="1"/>
    <col min="2862" max="2862" width="3.5703125" style="262"/>
    <col min="2863" max="2863" width="5.5703125" style="262" bestFit="1" customWidth="1"/>
    <col min="2864" max="3075" width="3.5703125" style="262"/>
    <col min="3076" max="3076" width="11.42578125" style="262" customWidth="1"/>
    <col min="3077" max="3077" width="1.85546875" style="262" customWidth="1"/>
    <col min="3078" max="3081" width="5.42578125" style="262" customWidth="1"/>
    <col min="3082" max="3082" width="10.42578125" style="262" customWidth="1"/>
    <col min="3083" max="3083" width="7.85546875" style="262" customWidth="1"/>
    <col min="3084" max="3084" width="8.85546875" style="262" customWidth="1"/>
    <col min="3085" max="3085" width="8.42578125" style="262" customWidth="1"/>
    <col min="3086" max="3086" width="4.42578125" style="262" customWidth="1"/>
    <col min="3087" max="3088" width="4.140625" style="262" customWidth="1"/>
    <col min="3089" max="3089" width="6.85546875" style="262" customWidth="1"/>
    <col min="3090" max="3090" width="4.140625" style="262" customWidth="1"/>
    <col min="3091" max="3096" width="4.42578125" style="262" customWidth="1"/>
    <col min="3097" max="3097" width="7" style="262" customWidth="1"/>
    <col min="3098" max="3098" width="0" style="262" hidden="1" customWidth="1"/>
    <col min="3099" max="3102" width="3.5703125" style="262" customWidth="1"/>
    <col min="3103" max="3104" width="3.5703125" style="262"/>
    <col min="3105" max="3106" width="0" style="262" hidden="1" customWidth="1"/>
    <col min="3107" max="3113" width="3.5703125" style="262"/>
    <col min="3114" max="3114" width="5.5703125" style="262" bestFit="1" customWidth="1"/>
    <col min="3115" max="3116" width="3.5703125" style="262"/>
    <col min="3117" max="3117" width="6.5703125" style="262" bestFit="1" customWidth="1"/>
    <col min="3118" max="3118" width="3.5703125" style="262"/>
    <col min="3119" max="3119" width="5.5703125" style="262" bestFit="1" customWidth="1"/>
    <col min="3120" max="3331" width="3.5703125" style="262"/>
    <col min="3332" max="3332" width="11.42578125" style="262" customWidth="1"/>
    <col min="3333" max="3333" width="1.85546875" style="262" customWidth="1"/>
    <col min="3334" max="3337" width="5.42578125" style="262" customWidth="1"/>
    <col min="3338" max="3338" width="10.42578125" style="262" customWidth="1"/>
    <col min="3339" max="3339" width="7.85546875" style="262" customWidth="1"/>
    <col min="3340" max="3340" width="8.85546875" style="262" customWidth="1"/>
    <col min="3341" max="3341" width="8.42578125" style="262" customWidth="1"/>
    <col min="3342" max="3342" width="4.42578125" style="262" customWidth="1"/>
    <col min="3343" max="3344" width="4.140625" style="262" customWidth="1"/>
    <col min="3345" max="3345" width="6.85546875" style="262" customWidth="1"/>
    <col min="3346" max="3346" width="4.140625" style="262" customWidth="1"/>
    <col min="3347" max="3352" width="4.42578125" style="262" customWidth="1"/>
    <col min="3353" max="3353" width="7" style="262" customWidth="1"/>
    <col min="3354" max="3354" width="0" style="262" hidden="1" customWidth="1"/>
    <col min="3355" max="3358" width="3.5703125" style="262" customWidth="1"/>
    <col min="3359" max="3360" width="3.5703125" style="262"/>
    <col min="3361" max="3362" width="0" style="262" hidden="1" customWidth="1"/>
    <col min="3363" max="3369" width="3.5703125" style="262"/>
    <col min="3370" max="3370" width="5.5703125" style="262" bestFit="1" customWidth="1"/>
    <col min="3371" max="3372" width="3.5703125" style="262"/>
    <col min="3373" max="3373" width="6.5703125" style="262" bestFit="1" customWidth="1"/>
    <col min="3374" max="3374" width="3.5703125" style="262"/>
    <col min="3375" max="3375" width="5.5703125" style="262" bestFit="1" customWidth="1"/>
    <col min="3376" max="3587" width="3.5703125" style="262"/>
    <col min="3588" max="3588" width="11.42578125" style="262" customWidth="1"/>
    <col min="3589" max="3589" width="1.85546875" style="262" customWidth="1"/>
    <col min="3590" max="3593" width="5.42578125" style="262" customWidth="1"/>
    <col min="3594" max="3594" width="10.42578125" style="262" customWidth="1"/>
    <col min="3595" max="3595" width="7.85546875" style="262" customWidth="1"/>
    <col min="3596" max="3596" width="8.85546875" style="262" customWidth="1"/>
    <col min="3597" max="3597" width="8.42578125" style="262" customWidth="1"/>
    <col min="3598" max="3598" width="4.42578125" style="262" customWidth="1"/>
    <col min="3599" max="3600" width="4.140625" style="262" customWidth="1"/>
    <col min="3601" max="3601" width="6.85546875" style="262" customWidth="1"/>
    <col min="3602" max="3602" width="4.140625" style="262" customWidth="1"/>
    <col min="3603" max="3608" width="4.42578125" style="262" customWidth="1"/>
    <col min="3609" max="3609" width="7" style="262" customWidth="1"/>
    <col min="3610" max="3610" width="0" style="262" hidden="1" customWidth="1"/>
    <col min="3611" max="3614" width="3.5703125" style="262" customWidth="1"/>
    <col min="3615" max="3616" width="3.5703125" style="262"/>
    <col min="3617" max="3618" width="0" style="262" hidden="1" customWidth="1"/>
    <col min="3619" max="3625" width="3.5703125" style="262"/>
    <col min="3626" max="3626" width="5.5703125" style="262" bestFit="1" customWidth="1"/>
    <col min="3627" max="3628" width="3.5703125" style="262"/>
    <col min="3629" max="3629" width="6.5703125" style="262" bestFit="1" customWidth="1"/>
    <col min="3630" max="3630" width="3.5703125" style="262"/>
    <col min="3631" max="3631" width="5.5703125" style="262" bestFit="1" customWidth="1"/>
    <col min="3632" max="3843" width="3.5703125" style="262"/>
    <col min="3844" max="3844" width="11.42578125" style="262" customWidth="1"/>
    <col min="3845" max="3845" width="1.85546875" style="262" customWidth="1"/>
    <col min="3846" max="3849" width="5.42578125" style="262" customWidth="1"/>
    <col min="3850" max="3850" width="10.42578125" style="262" customWidth="1"/>
    <col min="3851" max="3851" width="7.85546875" style="262" customWidth="1"/>
    <col min="3852" max="3852" width="8.85546875" style="262" customWidth="1"/>
    <col min="3853" max="3853" width="8.42578125" style="262" customWidth="1"/>
    <col min="3854" max="3854" width="4.42578125" style="262" customWidth="1"/>
    <col min="3855" max="3856" width="4.140625" style="262" customWidth="1"/>
    <col min="3857" max="3857" width="6.85546875" style="262" customWidth="1"/>
    <col min="3858" max="3858" width="4.140625" style="262" customWidth="1"/>
    <col min="3859" max="3864" width="4.42578125" style="262" customWidth="1"/>
    <col min="3865" max="3865" width="7" style="262" customWidth="1"/>
    <col min="3866" max="3866" width="0" style="262" hidden="1" customWidth="1"/>
    <col min="3867" max="3870" width="3.5703125" style="262" customWidth="1"/>
    <col min="3871" max="3872" width="3.5703125" style="262"/>
    <col min="3873" max="3874" width="0" style="262" hidden="1" customWidth="1"/>
    <col min="3875" max="3881" width="3.5703125" style="262"/>
    <col min="3882" max="3882" width="5.5703125" style="262" bestFit="1" customWidth="1"/>
    <col min="3883" max="3884" width="3.5703125" style="262"/>
    <col min="3885" max="3885" width="6.5703125" style="262" bestFit="1" customWidth="1"/>
    <col min="3886" max="3886" width="3.5703125" style="262"/>
    <col min="3887" max="3887" width="5.5703125" style="262" bestFit="1" customWidth="1"/>
    <col min="3888" max="4099" width="3.5703125" style="262"/>
    <col min="4100" max="4100" width="11.42578125" style="262" customWidth="1"/>
    <col min="4101" max="4101" width="1.85546875" style="262" customWidth="1"/>
    <col min="4102" max="4105" width="5.42578125" style="262" customWidth="1"/>
    <col min="4106" max="4106" width="10.42578125" style="262" customWidth="1"/>
    <col min="4107" max="4107" width="7.85546875" style="262" customWidth="1"/>
    <col min="4108" max="4108" width="8.85546875" style="262" customWidth="1"/>
    <col min="4109" max="4109" width="8.42578125" style="262" customWidth="1"/>
    <col min="4110" max="4110" width="4.42578125" style="262" customWidth="1"/>
    <col min="4111" max="4112" width="4.140625" style="262" customWidth="1"/>
    <col min="4113" max="4113" width="6.85546875" style="262" customWidth="1"/>
    <col min="4114" max="4114" width="4.140625" style="262" customWidth="1"/>
    <col min="4115" max="4120" width="4.42578125" style="262" customWidth="1"/>
    <col min="4121" max="4121" width="7" style="262" customWidth="1"/>
    <col min="4122" max="4122" width="0" style="262" hidden="1" customWidth="1"/>
    <col min="4123" max="4126" width="3.5703125" style="262" customWidth="1"/>
    <col min="4127" max="4128" width="3.5703125" style="262"/>
    <col min="4129" max="4130" width="0" style="262" hidden="1" customWidth="1"/>
    <col min="4131" max="4137" width="3.5703125" style="262"/>
    <col min="4138" max="4138" width="5.5703125" style="262" bestFit="1" customWidth="1"/>
    <col min="4139" max="4140" width="3.5703125" style="262"/>
    <col min="4141" max="4141" width="6.5703125" style="262" bestFit="1" customWidth="1"/>
    <col min="4142" max="4142" width="3.5703125" style="262"/>
    <col min="4143" max="4143" width="5.5703125" style="262" bestFit="1" customWidth="1"/>
    <col min="4144" max="4355" width="3.5703125" style="262"/>
    <col min="4356" max="4356" width="11.42578125" style="262" customWidth="1"/>
    <col min="4357" max="4357" width="1.85546875" style="262" customWidth="1"/>
    <col min="4358" max="4361" width="5.42578125" style="262" customWidth="1"/>
    <col min="4362" max="4362" width="10.42578125" style="262" customWidth="1"/>
    <col min="4363" max="4363" width="7.85546875" style="262" customWidth="1"/>
    <col min="4364" max="4364" width="8.85546875" style="262" customWidth="1"/>
    <col min="4365" max="4365" width="8.42578125" style="262" customWidth="1"/>
    <col min="4366" max="4366" width="4.42578125" style="262" customWidth="1"/>
    <col min="4367" max="4368" width="4.140625" style="262" customWidth="1"/>
    <col min="4369" max="4369" width="6.85546875" style="262" customWidth="1"/>
    <col min="4370" max="4370" width="4.140625" style="262" customWidth="1"/>
    <col min="4371" max="4376" width="4.42578125" style="262" customWidth="1"/>
    <col min="4377" max="4377" width="7" style="262" customWidth="1"/>
    <col min="4378" max="4378" width="0" style="262" hidden="1" customWidth="1"/>
    <col min="4379" max="4382" width="3.5703125" style="262" customWidth="1"/>
    <col min="4383" max="4384" width="3.5703125" style="262"/>
    <col min="4385" max="4386" width="0" style="262" hidden="1" customWidth="1"/>
    <col min="4387" max="4393" width="3.5703125" style="262"/>
    <col min="4394" max="4394" width="5.5703125" style="262" bestFit="1" customWidth="1"/>
    <col min="4395" max="4396" width="3.5703125" style="262"/>
    <col min="4397" max="4397" width="6.5703125" style="262" bestFit="1" customWidth="1"/>
    <col min="4398" max="4398" width="3.5703125" style="262"/>
    <col min="4399" max="4399" width="5.5703125" style="262" bestFit="1" customWidth="1"/>
    <col min="4400" max="4611" width="3.5703125" style="262"/>
    <col min="4612" max="4612" width="11.42578125" style="262" customWidth="1"/>
    <col min="4613" max="4613" width="1.85546875" style="262" customWidth="1"/>
    <col min="4614" max="4617" width="5.42578125" style="262" customWidth="1"/>
    <col min="4618" max="4618" width="10.42578125" style="262" customWidth="1"/>
    <col min="4619" max="4619" width="7.85546875" style="262" customWidth="1"/>
    <col min="4620" max="4620" width="8.85546875" style="262" customWidth="1"/>
    <col min="4621" max="4621" width="8.42578125" style="262" customWidth="1"/>
    <col min="4622" max="4622" width="4.42578125" style="262" customWidth="1"/>
    <col min="4623" max="4624" width="4.140625" style="262" customWidth="1"/>
    <col min="4625" max="4625" width="6.85546875" style="262" customWidth="1"/>
    <col min="4626" max="4626" width="4.140625" style="262" customWidth="1"/>
    <col min="4627" max="4632" width="4.42578125" style="262" customWidth="1"/>
    <col min="4633" max="4633" width="7" style="262" customWidth="1"/>
    <col min="4634" max="4634" width="0" style="262" hidden="1" customWidth="1"/>
    <col min="4635" max="4638" width="3.5703125" style="262" customWidth="1"/>
    <col min="4639" max="4640" width="3.5703125" style="262"/>
    <col min="4641" max="4642" width="0" style="262" hidden="1" customWidth="1"/>
    <col min="4643" max="4649" width="3.5703125" style="262"/>
    <col min="4650" max="4650" width="5.5703125" style="262" bestFit="1" customWidth="1"/>
    <col min="4651" max="4652" width="3.5703125" style="262"/>
    <col min="4653" max="4653" width="6.5703125" style="262" bestFit="1" customWidth="1"/>
    <col min="4654" max="4654" width="3.5703125" style="262"/>
    <col min="4655" max="4655" width="5.5703125" style="262" bestFit="1" customWidth="1"/>
    <col min="4656" max="4867" width="3.5703125" style="262"/>
    <col min="4868" max="4868" width="11.42578125" style="262" customWidth="1"/>
    <col min="4869" max="4869" width="1.85546875" style="262" customWidth="1"/>
    <col min="4870" max="4873" width="5.42578125" style="262" customWidth="1"/>
    <col min="4874" max="4874" width="10.42578125" style="262" customWidth="1"/>
    <col min="4875" max="4875" width="7.85546875" style="262" customWidth="1"/>
    <col min="4876" max="4876" width="8.85546875" style="262" customWidth="1"/>
    <col min="4877" max="4877" width="8.42578125" style="262" customWidth="1"/>
    <col min="4878" max="4878" width="4.42578125" style="262" customWidth="1"/>
    <col min="4879" max="4880" width="4.140625" style="262" customWidth="1"/>
    <col min="4881" max="4881" width="6.85546875" style="262" customWidth="1"/>
    <col min="4882" max="4882" width="4.140625" style="262" customWidth="1"/>
    <col min="4883" max="4888" width="4.42578125" style="262" customWidth="1"/>
    <col min="4889" max="4889" width="7" style="262" customWidth="1"/>
    <col min="4890" max="4890" width="0" style="262" hidden="1" customWidth="1"/>
    <col min="4891" max="4894" width="3.5703125" style="262" customWidth="1"/>
    <col min="4895" max="4896" width="3.5703125" style="262"/>
    <col min="4897" max="4898" width="0" style="262" hidden="1" customWidth="1"/>
    <col min="4899" max="4905" width="3.5703125" style="262"/>
    <col min="4906" max="4906" width="5.5703125" style="262" bestFit="1" customWidth="1"/>
    <col min="4907" max="4908" width="3.5703125" style="262"/>
    <col min="4909" max="4909" width="6.5703125" style="262" bestFit="1" customWidth="1"/>
    <col min="4910" max="4910" width="3.5703125" style="262"/>
    <col min="4911" max="4911" width="5.5703125" style="262" bestFit="1" customWidth="1"/>
    <col min="4912" max="5123" width="3.5703125" style="262"/>
    <col min="5124" max="5124" width="11.42578125" style="262" customWidth="1"/>
    <col min="5125" max="5125" width="1.85546875" style="262" customWidth="1"/>
    <col min="5126" max="5129" width="5.42578125" style="262" customWidth="1"/>
    <col min="5130" max="5130" width="10.42578125" style="262" customWidth="1"/>
    <col min="5131" max="5131" width="7.85546875" style="262" customWidth="1"/>
    <col min="5132" max="5132" width="8.85546875" style="262" customWidth="1"/>
    <col min="5133" max="5133" width="8.42578125" style="262" customWidth="1"/>
    <col min="5134" max="5134" width="4.42578125" style="262" customWidth="1"/>
    <col min="5135" max="5136" width="4.140625" style="262" customWidth="1"/>
    <col min="5137" max="5137" width="6.85546875" style="262" customWidth="1"/>
    <col min="5138" max="5138" width="4.140625" style="262" customWidth="1"/>
    <col min="5139" max="5144" width="4.42578125" style="262" customWidth="1"/>
    <col min="5145" max="5145" width="7" style="262" customWidth="1"/>
    <col min="5146" max="5146" width="0" style="262" hidden="1" customWidth="1"/>
    <col min="5147" max="5150" width="3.5703125" style="262" customWidth="1"/>
    <col min="5151" max="5152" width="3.5703125" style="262"/>
    <col min="5153" max="5154" width="0" style="262" hidden="1" customWidth="1"/>
    <col min="5155" max="5161" width="3.5703125" style="262"/>
    <col min="5162" max="5162" width="5.5703125" style="262" bestFit="1" customWidth="1"/>
    <col min="5163" max="5164" width="3.5703125" style="262"/>
    <col min="5165" max="5165" width="6.5703125" style="262" bestFit="1" customWidth="1"/>
    <col min="5166" max="5166" width="3.5703125" style="262"/>
    <col min="5167" max="5167" width="5.5703125" style="262" bestFit="1" customWidth="1"/>
    <col min="5168" max="5379" width="3.5703125" style="262"/>
    <col min="5380" max="5380" width="11.42578125" style="262" customWidth="1"/>
    <col min="5381" max="5381" width="1.85546875" style="262" customWidth="1"/>
    <col min="5382" max="5385" width="5.42578125" style="262" customWidth="1"/>
    <col min="5386" max="5386" width="10.42578125" style="262" customWidth="1"/>
    <col min="5387" max="5387" width="7.85546875" style="262" customWidth="1"/>
    <col min="5388" max="5388" width="8.85546875" style="262" customWidth="1"/>
    <col min="5389" max="5389" width="8.42578125" style="262" customWidth="1"/>
    <col min="5390" max="5390" width="4.42578125" style="262" customWidth="1"/>
    <col min="5391" max="5392" width="4.140625" style="262" customWidth="1"/>
    <col min="5393" max="5393" width="6.85546875" style="262" customWidth="1"/>
    <col min="5394" max="5394" width="4.140625" style="262" customWidth="1"/>
    <col min="5395" max="5400" width="4.42578125" style="262" customWidth="1"/>
    <col min="5401" max="5401" width="7" style="262" customWidth="1"/>
    <col min="5402" max="5402" width="0" style="262" hidden="1" customWidth="1"/>
    <col min="5403" max="5406" width="3.5703125" style="262" customWidth="1"/>
    <col min="5407" max="5408" width="3.5703125" style="262"/>
    <col min="5409" max="5410" width="0" style="262" hidden="1" customWidth="1"/>
    <col min="5411" max="5417" width="3.5703125" style="262"/>
    <col min="5418" max="5418" width="5.5703125" style="262" bestFit="1" customWidth="1"/>
    <col min="5419" max="5420" width="3.5703125" style="262"/>
    <col min="5421" max="5421" width="6.5703125" style="262" bestFit="1" customWidth="1"/>
    <col min="5422" max="5422" width="3.5703125" style="262"/>
    <col min="5423" max="5423" width="5.5703125" style="262" bestFit="1" customWidth="1"/>
    <col min="5424" max="5635" width="3.5703125" style="262"/>
    <col min="5636" max="5636" width="11.42578125" style="262" customWidth="1"/>
    <col min="5637" max="5637" width="1.85546875" style="262" customWidth="1"/>
    <col min="5638" max="5641" width="5.42578125" style="262" customWidth="1"/>
    <col min="5642" max="5642" width="10.42578125" style="262" customWidth="1"/>
    <col min="5643" max="5643" width="7.85546875" style="262" customWidth="1"/>
    <col min="5644" max="5644" width="8.85546875" style="262" customWidth="1"/>
    <col min="5645" max="5645" width="8.42578125" style="262" customWidth="1"/>
    <col min="5646" max="5646" width="4.42578125" style="262" customWidth="1"/>
    <col min="5647" max="5648" width="4.140625" style="262" customWidth="1"/>
    <col min="5649" max="5649" width="6.85546875" style="262" customWidth="1"/>
    <col min="5650" max="5650" width="4.140625" style="262" customWidth="1"/>
    <col min="5651" max="5656" width="4.42578125" style="262" customWidth="1"/>
    <col min="5657" max="5657" width="7" style="262" customWidth="1"/>
    <col min="5658" max="5658" width="0" style="262" hidden="1" customWidth="1"/>
    <col min="5659" max="5662" width="3.5703125" style="262" customWidth="1"/>
    <col min="5663" max="5664" width="3.5703125" style="262"/>
    <col min="5665" max="5666" width="0" style="262" hidden="1" customWidth="1"/>
    <col min="5667" max="5673" width="3.5703125" style="262"/>
    <col min="5674" max="5674" width="5.5703125" style="262" bestFit="1" customWidth="1"/>
    <col min="5675" max="5676" width="3.5703125" style="262"/>
    <col min="5677" max="5677" width="6.5703125" style="262" bestFit="1" customWidth="1"/>
    <col min="5678" max="5678" width="3.5703125" style="262"/>
    <col min="5679" max="5679" width="5.5703125" style="262" bestFit="1" customWidth="1"/>
    <col min="5680" max="5891" width="3.5703125" style="262"/>
    <col min="5892" max="5892" width="11.42578125" style="262" customWidth="1"/>
    <col min="5893" max="5893" width="1.85546875" style="262" customWidth="1"/>
    <col min="5894" max="5897" width="5.42578125" style="262" customWidth="1"/>
    <col min="5898" max="5898" width="10.42578125" style="262" customWidth="1"/>
    <col min="5899" max="5899" width="7.85546875" style="262" customWidth="1"/>
    <col min="5900" max="5900" width="8.85546875" style="262" customWidth="1"/>
    <col min="5901" max="5901" width="8.42578125" style="262" customWidth="1"/>
    <col min="5902" max="5902" width="4.42578125" style="262" customWidth="1"/>
    <col min="5903" max="5904" width="4.140625" style="262" customWidth="1"/>
    <col min="5905" max="5905" width="6.85546875" style="262" customWidth="1"/>
    <col min="5906" max="5906" width="4.140625" style="262" customWidth="1"/>
    <col min="5907" max="5912" width="4.42578125" style="262" customWidth="1"/>
    <col min="5913" max="5913" width="7" style="262" customWidth="1"/>
    <col min="5914" max="5914" width="0" style="262" hidden="1" customWidth="1"/>
    <col min="5915" max="5918" width="3.5703125" style="262" customWidth="1"/>
    <col min="5919" max="5920" width="3.5703125" style="262"/>
    <col min="5921" max="5922" width="0" style="262" hidden="1" customWidth="1"/>
    <col min="5923" max="5929" width="3.5703125" style="262"/>
    <col min="5930" max="5930" width="5.5703125" style="262" bestFit="1" customWidth="1"/>
    <col min="5931" max="5932" width="3.5703125" style="262"/>
    <col min="5933" max="5933" width="6.5703125" style="262" bestFit="1" customWidth="1"/>
    <col min="5934" max="5934" width="3.5703125" style="262"/>
    <col min="5935" max="5935" width="5.5703125" style="262" bestFit="1" customWidth="1"/>
    <col min="5936" max="6147" width="3.5703125" style="262"/>
    <col min="6148" max="6148" width="11.42578125" style="262" customWidth="1"/>
    <col min="6149" max="6149" width="1.85546875" style="262" customWidth="1"/>
    <col min="6150" max="6153" width="5.42578125" style="262" customWidth="1"/>
    <col min="6154" max="6154" width="10.42578125" style="262" customWidth="1"/>
    <col min="6155" max="6155" width="7.85546875" style="262" customWidth="1"/>
    <col min="6156" max="6156" width="8.85546875" style="262" customWidth="1"/>
    <col min="6157" max="6157" width="8.42578125" style="262" customWidth="1"/>
    <col min="6158" max="6158" width="4.42578125" style="262" customWidth="1"/>
    <col min="6159" max="6160" width="4.140625" style="262" customWidth="1"/>
    <col min="6161" max="6161" width="6.85546875" style="262" customWidth="1"/>
    <col min="6162" max="6162" width="4.140625" style="262" customWidth="1"/>
    <col min="6163" max="6168" width="4.42578125" style="262" customWidth="1"/>
    <col min="6169" max="6169" width="7" style="262" customWidth="1"/>
    <col min="6170" max="6170" width="0" style="262" hidden="1" customWidth="1"/>
    <col min="6171" max="6174" width="3.5703125" style="262" customWidth="1"/>
    <col min="6175" max="6176" width="3.5703125" style="262"/>
    <col min="6177" max="6178" width="0" style="262" hidden="1" customWidth="1"/>
    <col min="6179" max="6185" width="3.5703125" style="262"/>
    <col min="6186" max="6186" width="5.5703125" style="262" bestFit="1" customWidth="1"/>
    <col min="6187" max="6188" width="3.5703125" style="262"/>
    <col min="6189" max="6189" width="6.5703125" style="262" bestFit="1" customWidth="1"/>
    <col min="6190" max="6190" width="3.5703125" style="262"/>
    <col min="6191" max="6191" width="5.5703125" style="262" bestFit="1" customWidth="1"/>
    <col min="6192" max="6403" width="3.5703125" style="262"/>
    <col min="6404" max="6404" width="11.42578125" style="262" customWidth="1"/>
    <col min="6405" max="6405" width="1.85546875" style="262" customWidth="1"/>
    <col min="6406" max="6409" width="5.42578125" style="262" customWidth="1"/>
    <col min="6410" max="6410" width="10.42578125" style="262" customWidth="1"/>
    <col min="6411" max="6411" width="7.85546875" style="262" customWidth="1"/>
    <col min="6412" max="6412" width="8.85546875" style="262" customWidth="1"/>
    <col min="6413" max="6413" width="8.42578125" style="262" customWidth="1"/>
    <col min="6414" max="6414" width="4.42578125" style="262" customWidth="1"/>
    <col min="6415" max="6416" width="4.140625" style="262" customWidth="1"/>
    <col min="6417" max="6417" width="6.85546875" style="262" customWidth="1"/>
    <col min="6418" max="6418" width="4.140625" style="262" customWidth="1"/>
    <col min="6419" max="6424" width="4.42578125" style="262" customWidth="1"/>
    <col min="6425" max="6425" width="7" style="262" customWidth="1"/>
    <col min="6426" max="6426" width="0" style="262" hidden="1" customWidth="1"/>
    <col min="6427" max="6430" width="3.5703125" style="262" customWidth="1"/>
    <col min="6431" max="6432" width="3.5703125" style="262"/>
    <col min="6433" max="6434" width="0" style="262" hidden="1" customWidth="1"/>
    <col min="6435" max="6441" width="3.5703125" style="262"/>
    <col min="6442" max="6442" width="5.5703125" style="262" bestFit="1" customWidth="1"/>
    <col min="6443" max="6444" width="3.5703125" style="262"/>
    <col min="6445" max="6445" width="6.5703125" style="262" bestFit="1" customWidth="1"/>
    <col min="6446" max="6446" width="3.5703125" style="262"/>
    <col min="6447" max="6447" width="5.5703125" style="262" bestFit="1" customWidth="1"/>
    <col min="6448" max="6659" width="3.5703125" style="262"/>
    <col min="6660" max="6660" width="11.42578125" style="262" customWidth="1"/>
    <col min="6661" max="6661" width="1.85546875" style="262" customWidth="1"/>
    <col min="6662" max="6665" width="5.42578125" style="262" customWidth="1"/>
    <col min="6666" max="6666" width="10.42578125" style="262" customWidth="1"/>
    <col min="6667" max="6667" width="7.85546875" style="262" customWidth="1"/>
    <col min="6668" max="6668" width="8.85546875" style="262" customWidth="1"/>
    <col min="6669" max="6669" width="8.42578125" style="262" customWidth="1"/>
    <col min="6670" max="6670" width="4.42578125" style="262" customWidth="1"/>
    <col min="6671" max="6672" width="4.140625" style="262" customWidth="1"/>
    <col min="6673" max="6673" width="6.85546875" style="262" customWidth="1"/>
    <col min="6674" max="6674" width="4.140625" style="262" customWidth="1"/>
    <col min="6675" max="6680" width="4.42578125" style="262" customWidth="1"/>
    <col min="6681" max="6681" width="7" style="262" customWidth="1"/>
    <col min="6682" max="6682" width="0" style="262" hidden="1" customWidth="1"/>
    <col min="6683" max="6686" width="3.5703125" style="262" customWidth="1"/>
    <col min="6687" max="6688" width="3.5703125" style="262"/>
    <col min="6689" max="6690" width="0" style="262" hidden="1" customWidth="1"/>
    <col min="6691" max="6697" width="3.5703125" style="262"/>
    <col min="6698" max="6698" width="5.5703125" style="262" bestFit="1" customWidth="1"/>
    <col min="6699" max="6700" width="3.5703125" style="262"/>
    <col min="6701" max="6701" width="6.5703125" style="262" bestFit="1" customWidth="1"/>
    <col min="6702" max="6702" width="3.5703125" style="262"/>
    <col min="6703" max="6703" width="5.5703125" style="262" bestFit="1" customWidth="1"/>
    <col min="6704" max="6915" width="3.5703125" style="262"/>
    <col min="6916" max="6916" width="11.42578125" style="262" customWidth="1"/>
    <col min="6917" max="6917" width="1.85546875" style="262" customWidth="1"/>
    <col min="6918" max="6921" width="5.42578125" style="262" customWidth="1"/>
    <col min="6922" max="6922" width="10.42578125" style="262" customWidth="1"/>
    <col min="6923" max="6923" width="7.85546875" style="262" customWidth="1"/>
    <col min="6924" max="6924" width="8.85546875" style="262" customWidth="1"/>
    <col min="6925" max="6925" width="8.42578125" style="262" customWidth="1"/>
    <col min="6926" max="6926" width="4.42578125" style="262" customWidth="1"/>
    <col min="6927" max="6928" width="4.140625" style="262" customWidth="1"/>
    <col min="6929" max="6929" width="6.85546875" style="262" customWidth="1"/>
    <col min="6930" max="6930" width="4.140625" style="262" customWidth="1"/>
    <col min="6931" max="6936" width="4.42578125" style="262" customWidth="1"/>
    <col min="6937" max="6937" width="7" style="262" customWidth="1"/>
    <col min="6938" max="6938" width="0" style="262" hidden="1" customWidth="1"/>
    <col min="6939" max="6942" width="3.5703125" style="262" customWidth="1"/>
    <col min="6943" max="6944" width="3.5703125" style="262"/>
    <col min="6945" max="6946" width="0" style="262" hidden="1" customWidth="1"/>
    <col min="6947" max="6953" width="3.5703125" style="262"/>
    <col min="6954" max="6954" width="5.5703125" style="262" bestFit="1" customWidth="1"/>
    <col min="6955" max="6956" width="3.5703125" style="262"/>
    <col min="6957" max="6957" width="6.5703125" style="262" bestFit="1" customWidth="1"/>
    <col min="6958" max="6958" width="3.5703125" style="262"/>
    <col min="6959" max="6959" width="5.5703125" style="262" bestFit="1" customWidth="1"/>
    <col min="6960" max="7171" width="3.5703125" style="262"/>
    <col min="7172" max="7172" width="11.42578125" style="262" customWidth="1"/>
    <col min="7173" max="7173" width="1.85546875" style="262" customWidth="1"/>
    <col min="7174" max="7177" width="5.42578125" style="262" customWidth="1"/>
    <col min="7178" max="7178" width="10.42578125" style="262" customWidth="1"/>
    <col min="7179" max="7179" width="7.85546875" style="262" customWidth="1"/>
    <col min="7180" max="7180" width="8.85546875" style="262" customWidth="1"/>
    <col min="7181" max="7181" width="8.42578125" style="262" customWidth="1"/>
    <col min="7182" max="7182" width="4.42578125" style="262" customWidth="1"/>
    <col min="7183" max="7184" width="4.140625" style="262" customWidth="1"/>
    <col min="7185" max="7185" width="6.85546875" style="262" customWidth="1"/>
    <col min="7186" max="7186" width="4.140625" style="262" customWidth="1"/>
    <col min="7187" max="7192" width="4.42578125" style="262" customWidth="1"/>
    <col min="7193" max="7193" width="7" style="262" customWidth="1"/>
    <col min="7194" max="7194" width="0" style="262" hidden="1" customWidth="1"/>
    <col min="7195" max="7198" width="3.5703125" style="262" customWidth="1"/>
    <col min="7199" max="7200" width="3.5703125" style="262"/>
    <col min="7201" max="7202" width="0" style="262" hidden="1" customWidth="1"/>
    <col min="7203" max="7209" width="3.5703125" style="262"/>
    <col min="7210" max="7210" width="5.5703125" style="262" bestFit="1" customWidth="1"/>
    <col min="7211" max="7212" width="3.5703125" style="262"/>
    <col min="7213" max="7213" width="6.5703125" style="262" bestFit="1" customWidth="1"/>
    <col min="7214" max="7214" width="3.5703125" style="262"/>
    <col min="7215" max="7215" width="5.5703125" style="262" bestFit="1" customWidth="1"/>
    <col min="7216" max="7427" width="3.5703125" style="262"/>
    <col min="7428" max="7428" width="11.42578125" style="262" customWidth="1"/>
    <col min="7429" max="7429" width="1.85546875" style="262" customWidth="1"/>
    <col min="7430" max="7433" width="5.42578125" style="262" customWidth="1"/>
    <col min="7434" max="7434" width="10.42578125" style="262" customWidth="1"/>
    <col min="7435" max="7435" width="7.85546875" style="262" customWidth="1"/>
    <col min="7436" max="7436" width="8.85546875" style="262" customWidth="1"/>
    <col min="7437" max="7437" width="8.42578125" style="262" customWidth="1"/>
    <col min="7438" max="7438" width="4.42578125" style="262" customWidth="1"/>
    <col min="7439" max="7440" width="4.140625" style="262" customWidth="1"/>
    <col min="7441" max="7441" width="6.85546875" style="262" customWidth="1"/>
    <col min="7442" max="7442" width="4.140625" style="262" customWidth="1"/>
    <col min="7443" max="7448" width="4.42578125" style="262" customWidth="1"/>
    <col min="7449" max="7449" width="7" style="262" customWidth="1"/>
    <col min="7450" max="7450" width="0" style="262" hidden="1" customWidth="1"/>
    <col min="7451" max="7454" width="3.5703125" style="262" customWidth="1"/>
    <col min="7455" max="7456" width="3.5703125" style="262"/>
    <col min="7457" max="7458" width="0" style="262" hidden="1" customWidth="1"/>
    <col min="7459" max="7465" width="3.5703125" style="262"/>
    <col min="7466" max="7466" width="5.5703125" style="262" bestFit="1" customWidth="1"/>
    <col min="7467" max="7468" width="3.5703125" style="262"/>
    <col min="7469" max="7469" width="6.5703125" style="262" bestFit="1" customWidth="1"/>
    <col min="7470" max="7470" width="3.5703125" style="262"/>
    <col min="7471" max="7471" width="5.5703125" style="262" bestFit="1" customWidth="1"/>
    <col min="7472" max="7683" width="3.5703125" style="262"/>
    <col min="7684" max="7684" width="11.42578125" style="262" customWidth="1"/>
    <col min="7685" max="7685" width="1.85546875" style="262" customWidth="1"/>
    <col min="7686" max="7689" width="5.42578125" style="262" customWidth="1"/>
    <col min="7690" max="7690" width="10.42578125" style="262" customWidth="1"/>
    <col min="7691" max="7691" width="7.85546875" style="262" customWidth="1"/>
    <col min="7692" max="7692" width="8.85546875" style="262" customWidth="1"/>
    <col min="7693" max="7693" width="8.42578125" style="262" customWidth="1"/>
    <col min="7694" max="7694" width="4.42578125" style="262" customWidth="1"/>
    <col min="7695" max="7696" width="4.140625" style="262" customWidth="1"/>
    <col min="7697" max="7697" width="6.85546875" style="262" customWidth="1"/>
    <col min="7698" max="7698" width="4.140625" style="262" customWidth="1"/>
    <col min="7699" max="7704" width="4.42578125" style="262" customWidth="1"/>
    <col min="7705" max="7705" width="7" style="262" customWidth="1"/>
    <col min="7706" max="7706" width="0" style="262" hidden="1" customWidth="1"/>
    <col min="7707" max="7710" width="3.5703125" style="262" customWidth="1"/>
    <col min="7711" max="7712" width="3.5703125" style="262"/>
    <col min="7713" max="7714" width="0" style="262" hidden="1" customWidth="1"/>
    <col min="7715" max="7721" width="3.5703125" style="262"/>
    <col min="7722" max="7722" width="5.5703125" style="262" bestFit="1" customWidth="1"/>
    <col min="7723" max="7724" width="3.5703125" style="262"/>
    <col min="7725" max="7725" width="6.5703125" style="262" bestFit="1" customWidth="1"/>
    <col min="7726" max="7726" width="3.5703125" style="262"/>
    <col min="7727" max="7727" width="5.5703125" style="262" bestFit="1" customWidth="1"/>
    <col min="7728" max="7939" width="3.5703125" style="262"/>
    <col min="7940" max="7940" width="11.42578125" style="262" customWidth="1"/>
    <col min="7941" max="7941" width="1.85546875" style="262" customWidth="1"/>
    <col min="7942" max="7945" width="5.42578125" style="262" customWidth="1"/>
    <col min="7946" max="7946" width="10.42578125" style="262" customWidth="1"/>
    <col min="7947" max="7947" width="7.85546875" style="262" customWidth="1"/>
    <col min="7948" max="7948" width="8.85546875" style="262" customWidth="1"/>
    <col min="7949" max="7949" width="8.42578125" style="262" customWidth="1"/>
    <col min="7950" max="7950" width="4.42578125" style="262" customWidth="1"/>
    <col min="7951" max="7952" width="4.140625" style="262" customWidth="1"/>
    <col min="7953" max="7953" width="6.85546875" style="262" customWidth="1"/>
    <col min="7954" max="7954" width="4.140625" style="262" customWidth="1"/>
    <col min="7955" max="7960" width="4.42578125" style="262" customWidth="1"/>
    <col min="7961" max="7961" width="7" style="262" customWidth="1"/>
    <col min="7962" max="7962" width="0" style="262" hidden="1" customWidth="1"/>
    <col min="7963" max="7966" width="3.5703125" style="262" customWidth="1"/>
    <col min="7967" max="7968" width="3.5703125" style="262"/>
    <col min="7969" max="7970" width="0" style="262" hidden="1" customWidth="1"/>
    <col min="7971" max="7977" width="3.5703125" style="262"/>
    <col min="7978" max="7978" width="5.5703125" style="262" bestFit="1" customWidth="1"/>
    <col min="7979" max="7980" width="3.5703125" style="262"/>
    <col min="7981" max="7981" width="6.5703125" style="262" bestFit="1" customWidth="1"/>
    <col min="7982" max="7982" width="3.5703125" style="262"/>
    <col min="7983" max="7983" width="5.5703125" style="262" bestFit="1" customWidth="1"/>
    <col min="7984" max="8195" width="3.5703125" style="262"/>
    <col min="8196" max="8196" width="11.42578125" style="262" customWidth="1"/>
    <col min="8197" max="8197" width="1.85546875" style="262" customWidth="1"/>
    <col min="8198" max="8201" width="5.42578125" style="262" customWidth="1"/>
    <col min="8202" max="8202" width="10.42578125" style="262" customWidth="1"/>
    <col min="8203" max="8203" width="7.85546875" style="262" customWidth="1"/>
    <col min="8204" max="8204" width="8.85546875" style="262" customWidth="1"/>
    <col min="8205" max="8205" width="8.42578125" style="262" customWidth="1"/>
    <col min="8206" max="8206" width="4.42578125" style="262" customWidth="1"/>
    <col min="8207" max="8208" width="4.140625" style="262" customWidth="1"/>
    <col min="8209" max="8209" width="6.85546875" style="262" customWidth="1"/>
    <col min="8210" max="8210" width="4.140625" style="262" customWidth="1"/>
    <col min="8211" max="8216" width="4.42578125" style="262" customWidth="1"/>
    <col min="8217" max="8217" width="7" style="262" customWidth="1"/>
    <col min="8218" max="8218" width="0" style="262" hidden="1" customWidth="1"/>
    <col min="8219" max="8222" width="3.5703125" style="262" customWidth="1"/>
    <col min="8223" max="8224" width="3.5703125" style="262"/>
    <col min="8225" max="8226" width="0" style="262" hidden="1" customWidth="1"/>
    <col min="8227" max="8233" width="3.5703125" style="262"/>
    <col min="8234" max="8234" width="5.5703125" style="262" bestFit="1" customWidth="1"/>
    <col min="8235" max="8236" width="3.5703125" style="262"/>
    <col min="8237" max="8237" width="6.5703125" style="262" bestFit="1" customWidth="1"/>
    <col min="8238" max="8238" width="3.5703125" style="262"/>
    <col min="8239" max="8239" width="5.5703125" style="262" bestFit="1" customWidth="1"/>
    <col min="8240" max="8451" width="3.5703125" style="262"/>
    <col min="8452" max="8452" width="11.42578125" style="262" customWidth="1"/>
    <col min="8453" max="8453" width="1.85546875" style="262" customWidth="1"/>
    <col min="8454" max="8457" width="5.42578125" style="262" customWidth="1"/>
    <col min="8458" max="8458" width="10.42578125" style="262" customWidth="1"/>
    <col min="8459" max="8459" width="7.85546875" style="262" customWidth="1"/>
    <col min="8460" max="8460" width="8.85546875" style="262" customWidth="1"/>
    <col min="8461" max="8461" width="8.42578125" style="262" customWidth="1"/>
    <col min="8462" max="8462" width="4.42578125" style="262" customWidth="1"/>
    <col min="8463" max="8464" width="4.140625" style="262" customWidth="1"/>
    <col min="8465" max="8465" width="6.85546875" style="262" customWidth="1"/>
    <col min="8466" max="8466" width="4.140625" style="262" customWidth="1"/>
    <col min="8467" max="8472" width="4.42578125" style="262" customWidth="1"/>
    <col min="8473" max="8473" width="7" style="262" customWidth="1"/>
    <col min="8474" max="8474" width="0" style="262" hidden="1" customWidth="1"/>
    <col min="8475" max="8478" width="3.5703125" style="262" customWidth="1"/>
    <col min="8479" max="8480" width="3.5703125" style="262"/>
    <col min="8481" max="8482" width="0" style="262" hidden="1" customWidth="1"/>
    <col min="8483" max="8489" width="3.5703125" style="262"/>
    <col min="8490" max="8490" width="5.5703125" style="262" bestFit="1" customWidth="1"/>
    <col min="8491" max="8492" width="3.5703125" style="262"/>
    <col min="8493" max="8493" width="6.5703125" style="262" bestFit="1" customWidth="1"/>
    <col min="8494" max="8494" width="3.5703125" style="262"/>
    <col min="8495" max="8495" width="5.5703125" style="262" bestFit="1" customWidth="1"/>
    <col min="8496" max="8707" width="3.5703125" style="262"/>
    <col min="8708" max="8708" width="11.42578125" style="262" customWidth="1"/>
    <col min="8709" max="8709" width="1.85546875" style="262" customWidth="1"/>
    <col min="8710" max="8713" width="5.42578125" style="262" customWidth="1"/>
    <col min="8714" max="8714" width="10.42578125" style="262" customWidth="1"/>
    <col min="8715" max="8715" width="7.85546875" style="262" customWidth="1"/>
    <col min="8716" max="8716" width="8.85546875" style="262" customWidth="1"/>
    <col min="8717" max="8717" width="8.42578125" style="262" customWidth="1"/>
    <col min="8718" max="8718" width="4.42578125" style="262" customWidth="1"/>
    <col min="8719" max="8720" width="4.140625" style="262" customWidth="1"/>
    <col min="8721" max="8721" width="6.85546875" style="262" customWidth="1"/>
    <col min="8722" max="8722" width="4.140625" style="262" customWidth="1"/>
    <col min="8723" max="8728" width="4.42578125" style="262" customWidth="1"/>
    <col min="8729" max="8729" width="7" style="262" customWidth="1"/>
    <col min="8730" max="8730" width="0" style="262" hidden="1" customWidth="1"/>
    <col min="8731" max="8734" width="3.5703125" style="262" customWidth="1"/>
    <col min="8735" max="8736" width="3.5703125" style="262"/>
    <col min="8737" max="8738" width="0" style="262" hidden="1" customWidth="1"/>
    <col min="8739" max="8745" width="3.5703125" style="262"/>
    <col min="8746" max="8746" width="5.5703125" style="262" bestFit="1" customWidth="1"/>
    <col min="8747" max="8748" width="3.5703125" style="262"/>
    <col min="8749" max="8749" width="6.5703125" style="262" bestFit="1" customWidth="1"/>
    <col min="8750" max="8750" width="3.5703125" style="262"/>
    <col min="8751" max="8751" width="5.5703125" style="262" bestFit="1" customWidth="1"/>
    <col min="8752" max="8963" width="3.5703125" style="262"/>
    <col min="8964" max="8964" width="11.42578125" style="262" customWidth="1"/>
    <col min="8965" max="8965" width="1.85546875" style="262" customWidth="1"/>
    <col min="8966" max="8969" width="5.42578125" style="262" customWidth="1"/>
    <col min="8970" max="8970" width="10.42578125" style="262" customWidth="1"/>
    <col min="8971" max="8971" width="7.85546875" style="262" customWidth="1"/>
    <col min="8972" max="8972" width="8.85546875" style="262" customWidth="1"/>
    <col min="8973" max="8973" width="8.42578125" style="262" customWidth="1"/>
    <col min="8974" max="8974" width="4.42578125" style="262" customWidth="1"/>
    <col min="8975" max="8976" width="4.140625" style="262" customWidth="1"/>
    <col min="8977" max="8977" width="6.85546875" style="262" customWidth="1"/>
    <col min="8978" max="8978" width="4.140625" style="262" customWidth="1"/>
    <col min="8979" max="8984" width="4.42578125" style="262" customWidth="1"/>
    <col min="8985" max="8985" width="7" style="262" customWidth="1"/>
    <col min="8986" max="8986" width="0" style="262" hidden="1" customWidth="1"/>
    <col min="8987" max="8990" width="3.5703125" style="262" customWidth="1"/>
    <col min="8991" max="8992" width="3.5703125" style="262"/>
    <col min="8993" max="8994" width="0" style="262" hidden="1" customWidth="1"/>
    <col min="8995" max="9001" width="3.5703125" style="262"/>
    <col min="9002" max="9002" width="5.5703125" style="262" bestFit="1" customWidth="1"/>
    <col min="9003" max="9004" width="3.5703125" style="262"/>
    <col min="9005" max="9005" width="6.5703125" style="262" bestFit="1" customWidth="1"/>
    <col min="9006" max="9006" width="3.5703125" style="262"/>
    <col min="9007" max="9007" width="5.5703125" style="262" bestFit="1" customWidth="1"/>
    <col min="9008" max="9219" width="3.5703125" style="262"/>
    <col min="9220" max="9220" width="11.42578125" style="262" customWidth="1"/>
    <col min="9221" max="9221" width="1.85546875" style="262" customWidth="1"/>
    <col min="9222" max="9225" width="5.42578125" style="262" customWidth="1"/>
    <col min="9226" max="9226" width="10.42578125" style="262" customWidth="1"/>
    <col min="9227" max="9227" width="7.85546875" style="262" customWidth="1"/>
    <col min="9228" max="9228" width="8.85546875" style="262" customWidth="1"/>
    <col min="9229" max="9229" width="8.42578125" style="262" customWidth="1"/>
    <col min="9230" max="9230" width="4.42578125" style="262" customWidth="1"/>
    <col min="9231" max="9232" width="4.140625" style="262" customWidth="1"/>
    <col min="9233" max="9233" width="6.85546875" style="262" customWidth="1"/>
    <col min="9234" max="9234" width="4.140625" style="262" customWidth="1"/>
    <col min="9235" max="9240" width="4.42578125" style="262" customWidth="1"/>
    <col min="9241" max="9241" width="7" style="262" customWidth="1"/>
    <col min="9242" max="9242" width="0" style="262" hidden="1" customWidth="1"/>
    <col min="9243" max="9246" width="3.5703125" style="262" customWidth="1"/>
    <col min="9247" max="9248" width="3.5703125" style="262"/>
    <col min="9249" max="9250" width="0" style="262" hidden="1" customWidth="1"/>
    <col min="9251" max="9257" width="3.5703125" style="262"/>
    <col min="9258" max="9258" width="5.5703125" style="262" bestFit="1" customWidth="1"/>
    <col min="9259" max="9260" width="3.5703125" style="262"/>
    <col min="9261" max="9261" width="6.5703125" style="262" bestFit="1" customWidth="1"/>
    <col min="9262" max="9262" width="3.5703125" style="262"/>
    <col min="9263" max="9263" width="5.5703125" style="262" bestFit="1" customWidth="1"/>
    <col min="9264" max="9475" width="3.5703125" style="262"/>
    <col min="9476" max="9476" width="11.42578125" style="262" customWidth="1"/>
    <col min="9477" max="9477" width="1.85546875" style="262" customWidth="1"/>
    <col min="9478" max="9481" width="5.42578125" style="262" customWidth="1"/>
    <col min="9482" max="9482" width="10.42578125" style="262" customWidth="1"/>
    <col min="9483" max="9483" width="7.85546875" style="262" customWidth="1"/>
    <col min="9484" max="9484" width="8.85546875" style="262" customWidth="1"/>
    <col min="9485" max="9485" width="8.42578125" style="262" customWidth="1"/>
    <col min="9486" max="9486" width="4.42578125" style="262" customWidth="1"/>
    <col min="9487" max="9488" width="4.140625" style="262" customWidth="1"/>
    <col min="9489" max="9489" width="6.85546875" style="262" customWidth="1"/>
    <col min="9490" max="9490" width="4.140625" style="262" customWidth="1"/>
    <col min="9491" max="9496" width="4.42578125" style="262" customWidth="1"/>
    <col min="9497" max="9497" width="7" style="262" customWidth="1"/>
    <col min="9498" max="9498" width="0" style="262" hidden="1" customWidth="1"/>
    <col min="9499" max="9502" width="3.5703125" style="262" customWidth="1"/>
    <col min="9503" max="9504" width="3.5703125" style="262"/>
    <col min="9505" max="9506" width="0" style="262" hidden="1" customWidth="1"/>
    <col min="9507" max="9513" width="3.5703125" style="262"/>
    <col min="9514" max="9514" width="5.5703125" style="262" bestFit="1" customWidth="1"/>
    <col min="9515" max="9516" width="3.5703125" style="262"/>
    <col min="9517" max="9517" width="6.5703125" style="262" bestFit="1" customWidth="1"/>
    <col min="9518" max="9518" width="3.5703125" style="262"/>
    <col min="9519" max="9519" width="5.5703125" style="262" bestFit="1" customWidth="1"/>
    <col min="9520" max="9731" width="3.5703125" style="262"/>
    <col min="9732" max="9732" width="11.42578125" style="262" customWidth="1"/>
    <col min="9733" max="9733" width="1.85546875" style="262" customWidth="1"/>
    <col min="9734" max="9737" width="5.42578125" style="262" customWidth="1"/>
    <col min="9738" max="9738" width="10.42578125" style="262" customWidth="1"/>
    <col min="9739" max="9739" width="7.85546875" style="262" customWidth="1"/>
    <col min="9740" max="9740" width="8.85546875" style="262" customWidth="1"/>
    <col min="9741" max="9741" width="8.42578125" style="262" customWidth="1"/>
    <col min="9742" max="9742" width="4.42578125" style="262" customWidth="1"/>
    <col min="9743" max="9744" width="4.140625" style="262" customWidth="1"/>
    <col min="9745" max="9745" width="6.85546875" style="262" customWidth="1"/>
    <col min="9746" max="9746" width="4.140625" style="262" customWidth="1"/>
    <col min="9747" max="9752" width="4.42578125" style="262" customWidth="1"/>
    <col min="9753" max="9753" width="7" style="262" customWidth="1"/>
    <col min="9754" max="9754" width="0" style="262" hidden="1" customWidth="1"/>
    <col min="9755" max="9758" width="3.5703125" style="262" customWidth="1"/>
    <col min="9759" max="9760" width="3.5703125" style="262"/>
    <col min="9761" max="9762" width="0" style="262" hidden="1" customWidth="1"/>
    <col min="9763" max="9769" width="3.5703125" style="262"/>
    <col min="9770" max="9770" width="5.5703125" style="262" bestFit="1" customWidth="1"/>
    <col min="9771" max="9772" width="3.5703125" style="262"/>
    <col min="9773" max="9773" width="6.5703125" style="262" bestFit="1" customWidth="1"/>
    <col min="9774" max="9774" width="3.5703125" style="262"/>
    <col min="9775" max="9775" width="5.5703125" style="262" bestFit="1" customWidth="1"/>
    <col min="9776" max="9987" width="3.5703125" style="262"/>
    <col min="9988" max="9988" width="11.42578125" style="262" customWidth="1"/>
    <col min="9989" max="9989" width="1.85546875" style="262" customWidth="1"/>
    <col min="9990" max="9993" width="5.42578125" style="262" customWidth="1"/>
    <col min="9994" max="9994" width="10.42578125" style="262" customWidth="1"/>
    <col min="9995" max="9995" width="7.85546875" style="262" customWidth="1"/>
    <col min="9996" max="9996" width="8.85546875" style="262" customWidth="1"/>
    <col min="9997" max="9997" width="8.42578125" style="262" customWidth="1"/>
    <col min="9998" max="9998" width="4.42578125" style="262" customWidth="1"/>
    <col min="9999" max="10000" width="4.140625" style="262" customWidth="1"/>
    <col min="10001" max="10001" width="6.85546875" style="262" customWidth="1"/>
    <col min="10002" max="10002" width="4.140625" style="262" customWidth="1"/>
    <col min="10003" max="10008" width="4.42578125" style="262" customWidth="1"/>
    <col min="10009" max="10009" width="7" style="262" customWidth="1"/>
    <col min="10010" max="10010" width="0" style="262" hidden="1" customWidth="1"/>
    <col min="10011" max="10014" width="3.5703125" style="262" customWidth="1"/>
    <col min="10015" max="10016" width="3.5703125" style="262"/>
    <col min="10017" max="10018" width="0" style="262" hidden="1" customWidth="1"/>
    <col min="10019" max="10025" width="3.5703125" style="262"/>
    <col min="10026" max="10026" width="5.5703125" style="262" bestFit="1" customWidth="1"/>
    <col min="10027" max="10028" width="3.5703125" style="262"/>
    <col min="10029" max="10029" width="6.5703125" style="262" bestFit="1" customWidth="1"/>
    <col min="10030" max="10030" width="3.5703125" style="262"/>
    <col min="10031" max="10031" width="5.5703125" style="262" bestFit="1" customWidth="1"/>
    <col min="10032" max="10243" width="3.5703125" style="262"/>
    <col min="10244" max="10244" width="11.42578125" style="262" customWidth="1"/>
    <col min="10245" max="10245" width="1.85546875" style="262" customWidth="1"/>
    <col min="10246" max="10249" width="5.42578125" style="262" customWidth="1"/>
    <col min="10250" max="10250" width="10.42578125" style="262" customWidth="1"/>
    <col min="10251" max="10251" width="7.85546875" style="262" customWidth="1"/>
    <col min="10252" max="10252" width="8.85546875" style="262" customWidth="1"/>
    <col min="10253" max="10253" width="8.42578125" style="262" customWidth="1"/>
    <col min="10254" max="10254" width="4.42578125" style="262" customWidth="1"/>
    <col min="10255" max="10256" width="4.140625" style="262" customWidth="1"/>
    <col min="10257" max="10257" width="6.85546875" style="262" customWidth="1"/>
    <col min="10258" max="10258" width="4.140625" style="262" customWidth="1"/>
    <col min="10259" max="10264" width="4.42578125" style="262" customWidth="1"/>
    <col min="10265" max="10265" width="7" style="262" customWidth="1"/>
    <col min="10266" max="10266" width="0" style="262" hidden="1" customWidth="1"/>
    <col min="10267" max="10270" width="3.5703125" style="262" customWidth="1"/>
    <col min="10271" max="10272" width="3.5703125" style="262"/>
    <col min="10273" max="10274" width="0" style="262" hidden="1" customWidth="1"/>
    <col min="10275" max="10281" width="3.5703125" style="262"/>
    <col min="10282" max="10282" width="5.5703125" style="262" bestFit="1" customWidth="1"/>
    <col min="10283" max="10284" width="3.5703125" style="262"/>
    <col min="10285" max="10285" width="6.5703125" style="262" bestFit="1" customWidth="1"/>
    <col min="10286" max="10286" width="3.5703125" style="262"/>
    <col min="10287" max="10287" width="5.5703125" style="262" bestFit="1" customWidth="1"/>
    <col min="10288" max="10499" width="3.5703125" style="262"/>
    <col min="10500" max="10500" width="11.42578125" style="262" customWidth="1"/>
    <col min="10501" max="10501" width="1.85546875" style="262" customWidth="1"/>
    <col min="10502" max="10505" width="5.42578125" style="262" customWidth="1"/>
    <col min="10506" max="10506" width="10.42578125" style="262" customWidth="1"/>
    <col min="10507" max="10507" width="7.85546875" style="262" customWidth="1"/>
    <col min="10508" max="10508" width="8.85546875" style="262" customWidth="1"/>
    <col min="10509" max="10509" width="8.42578125" style="262" customWidth="1"/>
    <col min="10510" max="10510" width="4.42578125" style="262" customWidth="1"/>
    <col min="10511" max="10512" width="4.140625" style="262" customWidth="1"/>
    <col min="10513" max="10513" width="6.85546875" style="262" customWidth="1"/>
    <col min="10514" max="10514" width="4.140625" style="262" customWidth="1"/>
    <col min="10515" max="10520" width="4.42578125" style="262" customWidth="1"/>
    <col min="10521" max="10521" width="7" style="262" customWidth="1"/>
    <col min="10522" max="10522" width="0" style="262" hidden="1" customWidth="1"/>
    <col min="10523" max="10526" width="3.5703125" style="262" customWidth="1"/>
    <col min="10527" max="10528" width="3.5703125" style="262"/>
    <col min="10529" max="10530" width="0" style="262" hidden="1" customWidth="1"/>
    <col min="10531" max="10537" width="3.5703125" style="262"/>
    <col min="10538" max="10538" width="5.5703125" style="262" bestFit="1" customWidth="1"/>
    <col min="10539" max="10540" width="3.5703125" style="262"/>
    <col min="10541" max="10541" width="6.5703125" style="262" bestFit="1" customWidth="1"/>
    <col min="10542" max="10542" width="3.5703125" style="262"/>
    <col min="10543" max="10543" width="5.5703125" style="262" bestFit="1" customWidth="1"/>
    <col min="10544" max="10755" width="3.5703125" style="262"/>
    <col min="10756" max="10756" width="11.42578125" style="262" customWidth="1"/>
    <col min="10757" max="10757" width="1.85546875" style="262" customWidth="1"/>
    <col min="10758" max="10761" width="5.42578125" style="262" customWidth="1"/>
    <col min="10762" max="10762" width="10.42578125" style="262" customWidth="1"/>
    <col min="10763" max="10763" width="7.85546875" style="262" customWidth="1"/>
    <col min="10764" max="10764" width="8.85546875" style="262" customWidth="1"/>
    <col min="10765" max="10765" width="8.42578125" style="262" customWidth="1"/>
    <col min="10766" max="10766" width="4.42578125" style="262" customWidth="1"/>
    <col min="10767" max="10768" width="4.140625" style="262" customWidth="1"/>
    <col min="10769" max="10769" width="6.85546875" style="262" customWidth="1"/>
    <col min="10770" max="10770" width="4.140625" style="262" customWidth="1"/>
    <col min="10771" max="10776" width="4.42578125" style="262" customWidth="1"/>
    <col min="10777" max="10777" width="7" style="262" customWidth="1"/>
    <col min="10778" max="10778" width="0" style="262" hidden="1" customWidth="1"/>
    <col min="10779" max="10782" width="3.5703125" style="262" customWidth="1"/>
    <col min="10783" max="10784" width="3.5703125" style="262"/>
    <col min="10785" max="10786" width="0" style="262" hidden="1" customWidth="1"/>
    <col min="10787" max="10793" width="3.5703125" style="262"/>
    <col min="10794" max="10794" width="5.5703125" style="262" bestFit="1" customWidth="1"/>
    <col min="10795" max="10796" width="3.5703125" style="262"/>
    <col min="10797" max="10797" width="6.5703125" style="262" bestFit="1" customWidth="1"/>
    <col min="10798" max="10798" width="3.5703125" style="262"/>
    <col min="10799" max="10799" width="5.5703125" style="262" bestFit="1" customWidth="1"/>
    <col min="10800" max="11011" width="3.5703125" style="262"/>
    <col min="11012" max="11012" width="11.42578125" style="262" customWidth="1"/>
    <col min="11013" max="11013" width="1.85546875" style="262" customWidth="1"/>
    <col min="11014" max="11017" width="5.42578125" style="262" customWidth="1"/>
    <col min="11018" max="11018" width="10.42578125" style="262" customWidth="1"/>
    <col min="11019" max="11019" width="7.85546875" style="262" customWidth="1"/>
    <col min="11020" max="11020" width="8.85546875" style="262" customWidth="1"/>
    <col min="11021" max="11021" width="8.42578125" style="262" customWidth="1"/>
    <col min="11022" max="11022" width="4.42578125" style="262" customWidth="1"/>
    <col min="11023" max="11024" width="4.140625" style="262" customWidth="1"/>
    <col min="11025" max="11025" width="6.85546875" style="262" customWidth="1"/>
    <col min="11026" max="11026" width="4.140625" style="262" customWidth="1"/>
    <col min="11027" max="11032" width="4.42578125" style="262" customWidth="1"/>
    <col min="11033" max="11033" width="7" style="262" customWidth="1"/>
    <col min="11034" max="11034" width="0" style="262" hidden="1" customWidth="1"/>
    <col min="11035" max="11038" width="3.5703125" style="262" customWidth="1"/>
    <col min="11039" max="11040" width="3.5703125" style="262"/>
    <col min="11041" max="11042" width="0" style="262" hidden="1" customWidth="1"/>
    <col min="11043" max="11049" width="3.5703125" style="262"/>
    <col min="11050" max="11050" width="5.5703125" style="262" bestFit="1" customWidth="1"/>
    <col min="11051" max="11052" width="3.5703125" style="262"/>
    <col min="11053" max="11053" width="6.5703125" style="262" bestFit="1" customWidth="1"/>
    <col min="11054" max="11054" width="3.5703125" style="262"/>
    <col min="11055" max="11055" width="5.5703125" style="262" bestFit="1" customWidth="1"/>
    <col min="11056" max="11267" width="3.5703125" style="262"/>
    <col min="11268" max="11268" width="11.42578125" style="262" customWidth="1"/>
    <col min="11269" max="11269" width="1.85546875" style="262" customWidth="1"/>
    <col min="11270" max="11273" width="5.42578125" style="262" customWidth="1"/>
    <col min="11274" max="11274" width="10.42578125" style="262" customWidth="1"/>
    <col min="11275" max="11275" width="7.85546875" style="262" customWidth="1"/>
    <col min="11276" max="11276" width="8.85546875" style="262" customWidth="1"/>
    <col min="11277" max="11277" width="8.42578125" style="262" customWidth="1"/>
    <col min="11278" max="11278" width="4.42578125" style="262" customWidth="1"/>
    <col min="11279" max="11280" width="4.140625" style="262" customWidth="1"/>
    <col min="11281" max="11281" width="6.85546875" style="262" customWidth="1"/>
    <col min="11282" max="11282" width="4.140625" style="262" customWidth="1"/>
    <col min="11283" max="11288" width="4.42578125" style="262" customWidth="1"/>
    <col min="11289" max="11289" width="7" style="262" customWidth="1"/>
    <col min="11290" max="11290" width="0" style="262" hidden="1" customWidth="1"/>
    <col min="11291" max="11294" width="3.5703125" style="262" customWidth="1"/>
    <col min="11295" max="11296" width="3.5703125" style="262"/>
    <col min="11297" max="11298" width="0" style="262" hidden="1" customWidth="1"/>
    <col min="11299" max="11305" width="3.5703125" style="262"/>
    <col min="11306" max="11306" width="5.5703125" style="262" bestFit="1" customWidth="1"/>
    <col min="11307" max="11308" width="3.5703125" style="262"/>
    <col min="11309" max="11309" width="6.5703125" style="262" bestFit="1" customWidth="1"/>
    <col min="11310" max="11310" width="3.5703125" style="262"/>
    <col min="11311" max="11311" width="5.5703125" style="262" bestFit="1" customWidth="1"/>
    <col min="11312" max="11523" width="3.5703125" style="262"/>
    <col min="11524" max="11524" width="11.42578125" style="262" customWidth="1"/>
    <col min="11525" max="11525" width="1.85546875" style="262" customWidth="1"/>
    <col min="11526" max="11529" width="5.42578125" style="262" customWidth="1"/>
    <col min="11530" max="11530" width="10.42578125" style="262" customWidth="1"/>
    <col min="11531" max="11531" width="7.85546875" style="262" customWidth="1"/>
    <col min="11532" max="11532" width="8.85546875" style="262" customWidth="1"/>
    <col min="11533" max="11533" width="8.42578125" style="262" customWidth="1"/>
    <col min="11534" max="11534" width="4.42578125" style="262" customWidth="1"/>
    <col min="11535" max="11536" width="4.140625" style="262" customWidth="1"/>
    <col min="11537" max="11537" width="6.85546875" style="262" customWidth="1"/>
    <col min="11538" max="11538" width="4.140625" style="262" customWidth="1"/>
    <col min="11539" max="11544" width="4.42578125" style="262" customWidth="1"/>
    <col min="11545" max="11545" width="7" style="262" customWidth="1"/>
    <col min="11546" max="11546" width="0" style="262" hidden="1" customWidth="1"/>
    <col min="11547" max="11550" width="3.5703125" style="262" customWidth="1"/>
    <col min="11551" max="11552" width="3.5703125" style="262"/>
    <col min="11553" max="11554" width="0" style="262" hidden="1" customWidth="1"/>
    <col min="11555" max="11561" width="3.5703125" style="262"/>
    <col min="11562" max="11562" width="5.5703125" style="262" bestFit="1" customWidth="1"/>
    <col min="11563" max="11564" width="3.5703125" style="262"/>
    <col min="11565" max="11565" width="6.5703125" style="262" bestFit="1" customWidth="1"/>
    <col min="11566" max="11566" width="3.5703125" style="262"/>
    <col min="11567" max="11567" width="5.5703125" style="262" bestFit="1" customWidth="1"/>
    <col min="11568" max="11779" width="3.5703125" style="262"/>
    <col min="11780" max="11780" width="11.42578125" style="262" customWidth="1"/>
    <col min="11781" max="11781" width="1.85546875" style="262" customWidth="1"/>
    <col min="11782" max="11785" width="5.42578125" style="262" customWidth="1"/>
    <col min="11786" max="11786" width="10.42578125" style="262" customWidth="1"/>
    <col min="11787" max="11787" width="7.85546875" style="262" customWidth="1"/>
    <col min="11788" max="11788" width="8.85546875" style="262" customWidth="1"/>
    <col min="11789" max="11789" width="8.42578125" style="262" customWidth="1"/>
    <col min="11790" max="11790" width="4.42578125" style="262" customWidth="1"/>
    <col min="11791" max="11792" width="4.140625" style="262" customWidth="1"/>
    <col min="11793" max="11793" width="6.85546875" style="262" customWidth="1"/>
    <col min="11794" max="11794" width="4.140625" style="262" customWidth="1"/>
    <col min="11795" max="11800" width="4.42578125" style="262" customWidth="1"/>
    <col min="11801" max="11801" width="7" style="262" customWidth="1"/>
    <col min="11802" max="11802" width="0" style="262" hidden="1" customWidth="1"/>
    <col min="11803" max="11806" width="3.5703125" style="262" customWidth="1"/>
    <col min="11807" max="11808" width="3.5703125" style="262"/>
    <col min="11809" max="11810" width="0" style="262" hidden="1" customWidth="1"/>
    <col min="11811" max="11817" width="3.5703125" style="262"/>
    <col min="11818" max="11818" width="5.5703125" style="262" bestFit="1" customWidth="1"/>
    <col min="11819" max="11820" width="3.5703125" style="262"/>
    <col min="11821" max="11821" width="6.5703125" style="262" bestFit="1" customWidth="1"/>
    <col min="11822" max="11822" width="3.5703125" style="262"/>
    <col min="11823" max="11823" width="5.5703125" style="262" bestFit="1" customWidth="1"/>
    <col min="11824" max="12035" width="3.5703125" style="262"/>
    <col min="12036" max="12036" width="11.42578125" style="262" customWidth="1"/>
    <col min="12037" max="12037" width="1.85546875" style="262" customWidth="1"/>
    <col min="12038" max="12041" width="5.42578125" style="262" customWidth="1"/>
    <col min="12042" max="12042" width="10.42578125" style="262" customWidth="1"/>
    <col min="12043" max="12043" width="7.85546875" style="262" customWidth="1"/>
    <col min="12044" max="12044" width="8.85546875" style="262" customWidth="1"/>
    <col min="12045" max="12045" width="8.42578125" style="262" customWidth="1"/>
    <col min="12046" max="12046" width="4.42578125" style="262" customWidth="1"/>
    <col min="12047" max="12048" width="4.140625" style="262" customWidth="1"/>
    <col min="12049" max="12049" width="6.85546875" style="262" customWidth="1"/>
    <col min="12050" max="12050" width="4.140625" style="262" customWidth="1"/>
    <col min="12051" max="12056" width="4.42578125" style="262" customWidth="1"/>
    <col min="12057" max="12057" width="7" style="262" customWidth="1"/>
    <col min="12058" max="12058" width="0" style="262" hidden="1" customWidth="1"/>
    <col min="12059" max="12062" width="3.5703125" style="262" customWidth="1"/>
    <col min="12063" max="12064" width="3.5703125" style="262"/>
    <col min="12065" max="12066" width="0" style="262" hidden="1" customWidth="1"/>
    <col min="12067" max="12073" width="3.5703125" style="262"/>
    <col min="12074" max="12074" width="5.5703125" style="262" bestFit="1" customWidth="1"/>
    <col min="12075" max="12076" width="3.5703125" style="262"/>
    <col min="12077" max="12077" width="6.5703125" style="262" bestFit="1" customWidth="1"/>
    <col min="12078" max="12078" width="3.5703125" style="262"/>
    <col min="12079" max="12079" width="5.5703125" style="262" bestFit="1" customWidth="1"/>
    <col min="12080" max="12291" width="3.5703125" style="262"/>
    <col min="12292" max="12292" width="11.42578125" style="262" customWidth="1"/>
    <col min="12293" max="12293" width="1.85546875" style="262" customWidth="1"/>
    <col min="12294" max="12297" width="5.42578125" style="262" customWidth="1"/>
    <col min="12298" max="12298" width="10.42578125" style="262" customWidth="1"/>
    <col min="12299" max="12299" width="7.85546875" style="262" customWidth="1"/>
    <col min="12300" max="12300" width="8.85546875" style="262" customWidth="1"/>
    <col min="12301" max="12301" width="8.42578125" style="262" customWidth="1"/>
    <col min="12302" max="12302" width="4.42578125" style="262" customWidth="1"/>
    <col min="12303" max="12304" width="4.140625" style="262" customWidth="1"/>
    <col min="12305" max="12305" width="6.85546875" style="262" customWidth="1"/>
    <col min="12306" max="12306" width="4.140625" style="262" customWidth="1"/>
    <col min="12307" max="12312" width="4.42578125" style="262" customWidth="1"/>
    <col min="12313" max="12313" width="7" style="262" customWidth="1"/>
    <col min="12314" max="12314" width="0" style="262" hidden="1" customWidth="1"/>
    <col min="12315" max="12318" width="3.5703125" style="262" customWidth="1"/>
    <col min="12319" max="12320" width="3.5703125" style="262"/>
    <col min="12321" max="12322" width="0" style="262" hidden="1" customWidth="1"/>
    <col min="12323" max="12329" width="3.5703125" style="262"/>
    <col min="12330" max="12330" width="5.5703125" style="262" bestFit="1" customWidth="1"/>
    <col min="12331" max="12332" width="3.5703125" style="262"/>
    <col min="12333" max="12333" width="6.5703125" style="262" bestFit="1" customWidth="1"/>
    <col min="12334" max="12334" width="3.5703125" style="262"/>
    <col min="12335" max="12335" width="5.5703125" style="262" bestFit="1" customWidth="1"/>
    <col min="12336" max="12547" width="3.5703125" style="262"/>
    <col min="12548" max="12548" width="11.42578125" style="262" customWidth="1"/>
    <col min="12549" max="12549" width="1.85546875" style="262" customWidth="1"/>
    <col min="12550" max="12553" width="5.42578125" style="262" customWidth="1"/>
    <col min="12554" max="12554" width="10.42578125" style="262" customWidth="1"/>
    <col min="12555" max="12555" width="7.85546875" style="262" customWidth="1"/>
    <col min="12556" max="12556" width="8.85546875" style="262" customWidth="1"/>
    <col min="12557" max="12557" width="8.42578125" style="262" customWidth="1"/>
    <col min="12558" max="12558" width="4.42578125" style="262" customWidth="1"/>
    <col min="12559" max="12560" width="4.140625" style="262" customWidth="1"/>
    <col min="12561" max="12561" width="6.85546875" style="262" customWidth="1"/>
    <col min="12562" max="12562" width="4.140625" style="262" customWidth="1"/>
    <col min="12563" max="12568" width="4.42578125" style="262" customWidth="1"/>
    <col min="12569" max="12569" width="7" style="262" customWidth="1"/>
    <col min="12570" max="12570" width="0" style="262" hidden="1" customWidth="1"/>
    <col min="12571" max="12574" width="3.5703125" style="262" customWidth="1"/>
    <col min="12575" max="12576" width="3.5703125" style="262"/>
    <col min="12577" max="12578" width="0" style="262" hidden="1" customWidth="1"/>
    <col min="12579" max="12585" width="3.5703125" style="262"/>
    <col min="12586" max="12586" width="5.5703125" style="262" bestFit="1" customWidth="1"/>
    <col min="12587" max="12588" width="3.5703125" style="262"/>
    <col min="12589" max="12589" width="6.5703125" style="262" bestFit="1" customWidth="1"/>
    <col min="12590" max="12590" width="3.5703125" style="262"/>
    <col min="12591" max="12591" width="5.5703125" style="262" bestFit="1" customWidth="1"/>
    <col min="12592" max="12803" width="3.5703125" style="262"/>
    <col min="12804" max="12804" width="11.42578125" style="262" customWidth="1"/>
    <col min="12805" max="12805" width="1.85546875" style="262" customWidth="1"/>
    <col min="12806" max="12809" width="5.42578125" style="262" customWidth="1"/>
    <col min="12810" max="12810" width="10.42578125" style="262" customWidth="1"/>
    <col min="12811" max="12811" width="7.85546875" style="262" customWidth="1"/>
    <col min="12812" max="12812" width="8.85546875" style="262" customWidth="1"/>
    <col min="12813" max="12813" width="8.42578125" style="262" customWidth="1"/>
    <col min="12814" max="12814" width="4.42578125" style="262" customWidth="1"/>
    <col min="12815" max="12816" width="4.140625" style="262" customWidth="1"/>
    <col min="12817" max="12817" width="6.85546875" style="262" customWidth="1"/>
    <col min="12818" max="12818" width="4.140625" style="262" customWidth="1"/>
    <col min="12819" max="12824" width="4.42578125" style="262" customWidth="1"/>
    <col min="12825" max="12825" width="7" style="262" customWidth="1"/>
    <col min="12826" max="12826" width="0" style="262" hidden="1" customWidth="1"/>
    <col min="12827" max="12830" width="3.5703125" style="262" customWidth="1"/>
    <col min="12831" max="12832" width="3.5703125" style="262"/>
    <col min="12833" max="12834" width="0" style="262" hidden="1" customWidth="1"/>
    <col min="12835" max="12841" width="3.5703125" style="262"/>
    <col min="12842" max="12842" width="5.5703125" style="262" bestFit="1" customWidth="1"/>
    <col min="12843" max="12844" width="3.5703125" style="262"/>
    <col min="12845" max="12845" width="6.5703125" style="262" bestFit="1" customWidth="1"/>
    <col min="12846" max="12846" width="3.5703125" style="262"/>
    <col min="12847" max="12847" width="5.5703125" style="262" bestFit="1" customWidth="1"/>
    <col min="12848" max="13059" width="3.5703125" style="262"/>
    <col min="13060" max="13060" width="11.42578125" style="262" customWidth="1"/>
    <col min="13061" max="13061" width="1.85546875" style="262" customWidth="1"/>
    <col min="13062" max="13065" width="5.42578125" style="262" customWidth="1"/>
    <col min="13066" max="13066" width="10.42578125" style="262" customWidth="1"/>
    <col min="13067" max="13067" width="7.85546875" style="262" customWidth="1"/>
    <col min="13068" max="13068" width="8.85546875" style="262" customWidth="1"/>
    <col min="13069" max="13069" width="8.42578125" style="262" customWidth="1"/>
    <col min="13070" max="13070" width="4.42578125" style="262" customWidth="1"/>
    <col min="13071" max="13072" width="4.140625" style="262" customWidth="1"/>
    <col min="13073" max="13073" width="6.85546875" style="262" customWidth="1"/>
    <col min="13074" max="13074" width="4.140625" style="262" customWidth="1"/>
    <col min="13075" max="13080" width="4.42578125" style="262" customWidth="1"/>
    <col min="13081" max="13081" width="7" style="262" customWidth="1"/>
    <col min="13082" max="13082" width="0" style="262" hidden="1" customWidth="1"/>
    <col min="13083" max="13086" width="3.5703125" style="262" customWidth="1"/>
    <col min="13087" max="13088" width="3.5703125" style="262"/>
    <col min="13089" max="13090" width="0" style="262" hidden="1" customWidth="1"/>
    <col min="13091" max="13097" width="3.5703125" style="262"/>
    <col min="13098" max="13098" width="5.5703125" style="262" bestFit="1" customWidth="1"/>
    <col min="13099" max="13100" width="3.5703125" style="262"/>
    <col min="13101" max="13101" width="6.5703125" style="262" bestFit="1" customWidth="1"/>
    <col min="13102" max="13102" width="3.5703125" style="262"/>
    <col min="13103" max="13103" width="5.5703125" style="262" bestFit="1" customWidth="1"/>
    <col min="13104" max="13315" width="3.5703125" style="262"/>
    <col min="13316" max="13316" width="11.42578125" style="262" customWidth="1"/>
    <col min="13317" max="13317" width="1.85546875" style="262" customWidth="1"/>
    <col min="13318" max="13321" width="5.42578125" style="262" customWidth="1"/>
    <col min="13322" max="13322" width="10.42578125" style="262" customWidth="1"/>
    <col min="13323" max="13323" width="7.85546875" style="262" customWidth="1"/>
    <col min="13324" max="13324" width="8.85546875" style="262" customWidth="1"/>
    <col min="13325" max="13325" width="8.42578125" style="262" customWidth="1"/>
    <col min="13326" max="13326" width="4.42578125" style="262" customWidth="1"/>
    <col min="13327" max="13328" width="4.140625" style="262" customWidth="1"/>
    <col min="13329" max="13329" width="6.85546875" style="262" customWidth="1"/>
    <col min="13330" max="13330" width="4.140625" style="262" customWidth="1"/>
    <col min="13331" max="13336" width="4.42578125" style="262" customWidth="1"/>
    <col min="13337" max="13337" width="7" style="262" customWidth="1"/>
    <col min="13338" max="13338" width="0" style="262" hidden="1" customWidth="1"/>
    <col min="13339" max="13342" width="3.5703125" style="262" customWidth="1"/>
    <col min="13343" max="13344" width="3.5703125" style="262"/>
    <col min="13345" max="13346" width="0" style="262" hidden="1" customWidth="1"/>
    <col min="13347" max="13353" width="3.5703125" style="262"/>
    <col min="13354" max="13354" width="5.5703125" style="262" bestFit="1" customWidth="1"/>
    <col min="13355" max="13356" width="3.5703125" style="262"/>
    <col min="13357" max="13357" width="6.5703125" style="262" bestFit="1" customWidth="1"/>
    <col min="13358" max="13358" width="3.5703125" style="262"/>
    <col min="13359" max="13359" width="5.5703125" style="262" bestFit="1" customWidth="1"/>
    <col min="13360" max="13571" width="3.5703125" style="262"/>
    <col min="13572" max="13572" width="11.42578125" style="262" customWidth="1"/>
    <col min="13573" max="13573" width="1.85546875" style="262" customWidth="1"/>
    <col min="13574" max="13577" width="5.42578125" style="262" customWidth="1"/>
    <col min="13578" max="13578" width="10.42578125" style="262" customWidth="1"/>
    <col min="13579" max="13579" width="7.85546875" style="262" customWidth="1"/>
    <col min="13580" max="13580" width="8.85546875" style="262" customWidth="1"/>
    <col min="13581" max="13581" width="8.42578125" style="262" customWidth="1"/>
    <col min="13582" max="13582" width="4.42578125" style="262" customWidth="1"/>
    <col min="13583" max="13584" width="4.140625" style="262" customWidth="1"/>
    <col min="13585" max="13585" width="6.85546875" style="262" customWidth="1"/>
    <col min="13586" max="13586" width="4.140625" style="262" customWidth="1"/>
    <col min="13587" max="13592" width="4.42578125" style="262" customWidth="1"/>
    <col min="13593" max="13593" width="7" style="262" customWidth="1"/>
    <col min="13594" max="13594" width="0" style="262" hidden="1" customWidth="1"/>
    <col min="13595" max="13598" width="3.5703125" style="262" customWidth="1"/>
    <col min="13599" max="13600" width="3.5703125" style="262"/>
    <col min="13601" max="13602" width="0" style="262" hidden="1" customWidth="1"/>
    <col min="13603" max="13609" width="3.5703125" style="262"/>
    <col min="13610" max="13610" width="5.5703125" style="262" bestFit="1" customWidth="1"/>
    <col min="13611" max="13612" width="3.5703125" style="262"/>
    <col min="13613" max="13613" width="6.5703125" style="262" bestFit="1" customWidth="1"/>
    <col min="13614" max="13614" width="3.5703125" style="262"/>
    <col min="13615" max="13615" width="5.5703125" style="262" bestFit="1" customWidth="1"/>
    <col min="13616" max="13827" width="3.5703125" style="262"/>
    <col min="13828" max="13828" width="11.42578125" style="262" customWidth="1"/>
    <col min="13829" max="13829" width="1.85546875" style="262" customWidth="1"/>
    <col min="13830" max="13833" width="5.42578125" style="262" customWidth="1"/>
    <col min="13834" max="13834" width="10.42578125" style="262" customWidth="1"/>
    <col min="13835" max="13835" width="7.85546875" style="262" customWidth="1"/>
    <col min="13836" max="13836" width="8.85546875" style="262" customWidth="1"/>
    <col min="13837" max="13837" width="8.42578125" style="262" customWidth="1"/>
    <col min="13838" max="13838" width="4.42578125" style="262" customWidth="1"/>
    <col min="13839" max="13840" width="4.140625" style="262" customWidth="1"/>
    <col min="13841" max="13841" width="6.85546875" style="262" customWidth="1"/>
    <col min="13842" max="13842" width="4.140625" style="262" customWidth="1"/>
    <col min="13843" max="13848" width="4.42578125" style="262" customWidth="1"/>
    <col min="13849" max="13849" width="7" style="262" customWidth="1"/>
    <col min="13850" max="13850" width="0" style="262" hidden="1" customWidth="1"/>
    <col min="13851" max="13854" width="3.5703125" style="262" customWidth="1"/>
    <col min="13855" max="13856" width="3.5703125" style="262"/>
    <col min="13857" max="13858" width="0" style="262" hidden="1" customWidth="1"/>
    <col min="13859" max="13865" width="3.5703125" style="262"/>
    <col min="13866" max="13866" width="5.5703125" style="262" bestFit="1" customWidth="1"/>
    <col min="13867" max="13868" width="3.5703125" style="262"/>
    <col min="13869" max="13869" width="6.5703125" style="262" bestFit="1" customWidth="1"/>
    <col min="13870" max="13870" width="3.5703125" style="262"/>
    <col min="13871" max="13871" width="5.5703125" style="262" bestFit="1" customWidth="1"/>
    <col min="13872" max="14083" width="3.5703125" style="262"/>
    <col min="14084" max="14084" width="11.42578125" style="262" customWidth="1"/>
    <col min="14085" max="14085" width="1.85546875" style="262" customWidth="1"/>
    <col min="14086" max="14089" width="5.42578125" style="262" customWidth="1"/>
    <col min="14090" max="14090" width="10.42578125" style="262" customWidth="1"/>
    <col min="14091" max="14091" width="7.85546875" style="262" customWidth="1"/>
    <col min="14092" max="14092" width="8.85546875" style="262" customWidth="1"/>
    <col min="14093" max="14093" width="8.42578125" style="262" customWidth="1"/>
    <col min="14094" max="14094" width="4.42578125" style="262" customWidth="1"/>
    <col min="14095" max="14096" width="4.140625" style="262" customWidth="1"/>
    <col min="14097" max="14097" width="6.85546875" style="262" customWidth="1"/>
    <col min="14098" max="14098" width="4.140625" style="262" customWidth="1"/>
    <col min="14099" max="14104" width="4.42578125" style="262" customWidth="1"/>
    <col min="14105" max="14105" width="7" style="262" customWidth="1"/>
    <col min="14106" max="14106" width="0" style="262" hidden="1" customWidth="1"/>
    <col min="14107" max="14110" width="3.5703125" style="262" customWidth="1"/>
    <col min="14111" max="14112" width="3.5703125" style="262"/>
    <col min="14113" max="14114" width="0" style="262" hidden="1" customWidth="1"/>
    <col min="14115" max="14121" width="3.5703125" style="262"/>
    <col min="14122" max="14122" width="5.5703125" style="262" bestFit="1" customWidth="1"/>
    <col min="14123" max="14124" width="3.5703125" style="262"/>
    <col min="14125" max="14125" width="6.5703125" style="262" bestFit="1" customWidth="1"/>
    <col min="14126" max="14126" width="3.5703125" style="262"/>
    <col min="14127" max="14127" width="5.5703125" style="262" bestFit="1" customWidth="1"/>
    <col min="14128" max="14339" width="3.5703125" style="262"/>
    <col min="14340" max="14340" width="11.42578125" style="262" customWidth="1"/>
    <col min="14341" max="14341" width="1.85546875" style="262" customWidth="1"/>
    <col min="14342" max="14345" width="5.42578125" style="262" customWidth="1"/>
    <col min="14346" max="14346" width="10.42578125" style="262" customWidth="1"/>
    <col min="14347" max="14347" width="7.85546875" style="262" customWidth="1"/>
    <col min="14348" max="14348" width="8.85546875" style="262" customWidth="1"/>
    <col min="14349" max="14349" width="8.42578125" style="262" customWidth="1"/>
    <col min="14350" max="14350" width="4.42578125" style="262" customWidth="1"/>
    <col min="14351" max="14352" width="4.140625" style="262" customWidth="1"/>
    <col min="14353" max="14353" width="6.85546875" style="262" customWidth="1"/>
    <col min="14354" max="14354" width="4.140625" style="262" customWidth="1"/>
    <col min="14355" max="14360" width="4.42578125" style="262" customWidth="1"/>
    <col min="14361" max="14361" width="7" style="262" customWidth="1"/>
    <col min="14362" max="14362" width="0" style="262" hidden="1" customWidth="1"/>
    <col min="14363" max="14366" width="3.5703125" style="262" customWidth="1"/>
    <col min="14367" max="14368" width="3.5703125" style="262"/>
    <col min="14369" max="14370" width="0" style="262" hidden="1" customWidth="1"/>
    <col min="14371" max="14377" width="3.5703125" style="262"/>
    <col min="14378" max="14378" width="5.5703125" style="262" bestFit="1" customWidth="1"/>
    <col min="14379" max="14380" width="3.5703125" style="262"/>
    <col min="14381" max="14381" width="6.5703125" style="262" bestFit="1" customWidth="1"/>
    <col min="14382" max="14382" width="3.5703125" style="262"/>
    <col min="14383" max="14383" width="5.5703125" style="262" bestFit="1" customWidth="1"/>
    <col min="14384" max="14595" width="3.5703125" style="262"/>
    <col min="14596" max="14596" width="11.42578125" style="262" customWidth="1"/>
    <col min="14597" max="14597" width="1.85546875" style="262" customWidth="1"/>
    <col min="14598" max="14601" width="5.42578125" style="262" customWidth="1"/>
    <col min="14602" max="14602" width="10.42578125" style="262" customWidth="1"/>
    <col min="14603" max="14603" width="7.85546875" style="262" customWidth="1"/>
    <col min="14604" max="14604" width="8.85546875" style="262" customWidth="1"/>
    <col min="14605" max="14605" width="8.42578125" style="262" customWidth="1"/>
    <col min="14606" max="14606" width="4.42578125" style="262" customWidth="1"/>
    <col min="14607" max="14608" width="4.140625" style="262" customWidth="1"/>
    <col min="14609" max="14609" width="6.85546875" style="262" customWidth="1"/>
    <col min="14610" max="14610" width="4.140625" style="262" customWidth="1"/>
    <col min="14611" max="14616" width="4.42578125" style="262" customWidth="1"/>
    <col min="14617" max="14617" width="7" style="262" customWidth="1"/>
    <col min="14618" max="14618" width="0" style="262" hidden="1" customWidth="1"/>
    <col min="14619" max="14622" width="3.5703125" style="262" customWidth="1"/>
    <col min="14623" max="14624" width="3.5703125" style="262"/>
    <col min="14625" max="14626" width="0" style="262" hidden="1" customWidth="1"/>
    <col min="14627" max="14633" width="3.5703125" style="262"/>
    <col min="14634" max="14634" width="5.5703125" style="262" bestFit="1" customWidth="1"/>
    <col min="14635" max="14636" width="3.5703125" style="262"/>
    <col min="14637" max="14637" width="6.5703125" style="262" bestFit="1" customWidth="1"/>
    <col min="14638" max="14638" width="3.5703125" style="262"/>
    <col min="14639" max="14639" width="5.5703125" style="262" bestFit="1" customWidth="1"/>
    <col min="14640" max="14851" width="3.5703125" style="262"/>
    <col min="14852" max="14852" width="11.42578125" style="262" customWidth="1"/>
    <col min="14853" max="14853" width="1.85546875" style="262" customWidth="1"/>
    <col min="14854" max="14857" width="5.42578125" style="262" customWidth="1"/>
    <col min="14858" max="14858" width="10.42578125" style="262" customWidth="1"/>
    <col min="14859" max="14859" width="7.85546875" style="262" customWidth="1"/>
    <col min="14860" max="14860" width="8.85546875" style="262" customWidth="1"/>
    <col min="14861" max="14861" width="8.42578125" style="262" customWidth="1"/>
    <col min="14862" max="14862" width="4.42578125" style="262" customWidth="1"/>
    <col min="14863" max="14864" width="4.140625" style="262" customWidth="1"/>
    <col min="14865" max="14865" width="6.85546875" style="262" customWidth="1"/>
    <col min="14866" max="14866" width="4.140625" style="262" customWidth="1"/>
    <col min="14867" max="14872" width="4.42578125" style="262" customWidth="1"/>
    <col min="14873" max="14873" width="7" style="262" customWidth="1"/>
    <col min="14874" max="14874" width="0" style="262" hidden="1" customWidth="1"/>
    <col min="14875" max="14878" width="3.5703125" style="262" customWidth="1"/>
    <col min="14879" max="14880" width="3.5703125" style="262"/>
    <col min="14881" max="14882" width="0" style="262" hidden="1" customWidth="1"/>
    <col min="14883" max="14889" width="3.5703125" style="262"/>
    <col min="14890" max="14890" width="5.5703125" style="262" bestFit="1" customWidth="1"/>
    <col min="14891" max="14892" width="3.5703125" style="262"/>
    <col min="14893" max="14893" width="6.5703125" style="262" bestFit="1" customWidth="1"/>
    <col min="14894" max="14894" width="3.5703125" style="262"/>
    <col min="14895" max="14895" width="5.5703125" style="262" bestFit="1" customWidth="1"/>
    <col min="14896" max="15107" width="3.5703125" style="262"/>
    <col min="15108" max="15108" width="11.42578125" style="262" customWidth="1"/>
    <col min="15109" max="15109" width="1.85546875" style="262" customWidth="1"/>
    <col min="15110" max="15113" width="5.42578125" style="262" customWidth="1"/>
    <col min="15114" max="15114" width="10.42578125" style="262" customWidth="1"/>
    <col min="15115" max="15115" width="7.85546875" style="262" customWidth="1"/>
    <col min="15116" max="15116" width="8.85546875" style="262" customWidth="1"/>
    <col min="15117" max="15117" width="8.42578125" style="262" customWidth="1"/>
    <col min="15118" max="15118" width="4.42578125" style="262" customWidth="1"/>
    <col min="15119" max="15120" width="4.140625" style="262" customWidth="1"/>
    <col min="15121" max="15121" width="6.85546875" style="262" customWidth="1"/>
    <col min="15122" max="15122" width="4.140625" style="262" customWidth="1"/>
    <col min="15123" max="15128" width="4.42578125" style="262" customWidth="1"/>
    <col min="15129" max="15129" width="7" style="262" customWidth="1"/>
    <col min="15130" max="15130" width="0" style="262" hidden="1" customWidth="1"/>
    <col min="15131" max="15134" width="3.5703125" style="262" customWidth="1"/>
    <col min="15135" max="15136" width="3.5703125" style="262"/>
    <col min="15137" max="15138" width="0" style="262" hidden="1" customWidth="1"/>
    <col min="15139" max="15145" width="3.5703125" style="262"/>
    <col min="15146" max="15146" width="5.5703125" style="262" bestFit="1" customWidth="1"/>
    <col min="15147" max="15148" width="3.5703125" style="262"/>
    <col min="15149" max="15149" width="6.5703125" style="262" bestFit="1" customWidth="1"/>
    <col min="15150" max="15150" width="3.5703125" style="262"/>
    <col min="15151" max="15151" width="5.5703125" style="262" bestFit="1" customWidth="1"/>
    <col min="15152" max="15363" width="3.5703125" style="262"/>
    <col min="15364" max="15364" width="11.42578125" style="262" customWidth="1"/>
    <col min="15365" max="15365" width="1.85546875" style="262" customWidth="1"/>
    <col min="15366" max="15369" width="5.42578125" style="262" customWidth="1"/>
    <col min="15370" max="15370" width="10.42578125" style="262" customWidth="1"/>
    <col min="15371" max="15371" width="7.85546875" style="262" customWidth="1"/>
    <col min="15372" max="15372" width="8.85546875" style="262" customWidth="1"/>
    <col min="15373" max="15373" width="8.42578125" style="262" customWidth="1"/>
    <col min="15374" max="15374" width="4.42578125" style="262" customWidth="1"/>
    <col min="15375" max="15376" width="4.140625" style="262" customWidth="1"/>
    <col min="15377" max="15377" width="6.85546875" style="262" customWidth="1"/>
    <col min="15378" max="15378" width="4.140625" style="262" customWidth="1"/>
    <col min="15379" max="15384" width="4.42578125" style="262" customWidth="1"/>
    <col min="15385" max="15385" width="7" style="262" customWidth="1"/>
    <col min="15386" max="15386" width="0" style="262" hidden="1" customWidth="1"/>
    <col min="15387" max="15390" width="3.5703125" style="262" customWidth="1"/>
    <col min="15391" max="15392" width="3.5703125" style="262"/>
    <col min="15393" max="15394" width="0" style="262" hidden="1" customWidth="1"/>
    <col min="15395" max="15401" width="3.5703125" style="262"/>
    <col min="15402" max="15402" width="5.5703125" style="262" bestFit="1" customWidth="1"/>
    <col min="15403" max="15404" width="3.5703125" style="262"/>
    <col min="15405" max="15405" width="6.5703125" style="262" bestFit="1" customWidth="1"/>
    <col min="15406" max="15406" width="3.5703125" style="262"/>
    <col min="15407" max="15407" width="5.5703125" style="262" bestFit="1" customWidth="1"/>
    <col min="15408" max="15619" width="3.5703125" style="262"/>
    <col min="15620" max="15620" width="11.42578125" style="262" customWidth="1"/>
    <col min="15621" max="15621" width="1.85546875" style="262" customWidth="1"/>
    <col min="15622" max="15625" width="5.42578125" style="262" customWidth="1"/>
    <col min="15626" max="15626" width="10.42578125" style="262" customWidth="1"/>
    <col min="15627" max="15627" width="7.85546875" style="262" customWidth="1"/>
    <col min="15628" max="15628" width="8.85546875" style="262" customWidth="1"/>
    <col min="15629" max="15629" width="8.42578125" style="262" customWidth="1"/>
    <col min="15630" max="15630" width="4.42578125" style="262" customWidth="1"/>
    <col min="15631" max="15632" width="4.140625" style="262" customWidth="1"/>
    <col min="15633" max="15633" width="6.85546875" style="262" customWidth="1"/>
    <col min="15634" max="15634" width="4.140625" style="262" customWidth="1"/>
    <col min="15635" max="15640" width="4.42578125" style="262" customWidth="1"/>
    <col min="15641" max="15641" width="7" style="262" customWidth="1"/>
    <col min="15642" max="15642" width="0" style="262" hidden="1" customWidth="1"/>
    <col min="15643" max="15646" width="3.5703125" style="262" customWidth="1"/>
    <col min="15647" max="15648" width="3.5703125" style="262"/>
    <col min="15649" max="15650" width="0" style="262" hidden="1" customWidth="1"/>
    <col min="15651" max="15657" width="3.5703125" style="262"/>
    <col min="15658" max="15658" width="5.5703125" style="262" bestFit="1" customWidth="1"/>
    <col min="15659" max="15660" width="3.5703125" style="262"/>
    <col min="15661" max="15661" width="6.5703125" style="262" bestFit="1" customWidth="1"/>
    <col min="15662" max="15662" width="3.5703125" style="262"/>
    <col min="15663" max="15663" width="5.5703125" style="262" bestFit="1" customWidth="1"/>
    <col min="15664" max="15875" width="3.5703125" style="262"/>
    <col min="15876" max="15876" width="11.42578125" style="262" customWidth="1"/>
    <col min="15877" max="15877" width="1.85546875" style="262" customWidth="1"/>
    <col min="15878" max="15881" width="5.42578125" style="262" customWidth="1"/>
    <col min="15882" max="15882" width="10.42578125" style="262" customWidth="1"/>
    <col min="15883" max="15883" width="7.85546875" style="262" customWidth="1"/>
    <col min="15884" max="15884" width="8.85546875" style="262" customWidth="1"/>
    <col min="15885" max="15885" width="8.42578125" style="262" customWidth="1"/>
    <col min="15886" max="15886" width="4.42578125" style="262" customWidth="1"/>
    <col min="15887" max="15888" width="4.140625" style="262" customWidth="1"/>
    <col min="15889" max="15889" width="6.85546875" style="262" customWidth="1"/>
    <col min="15890" max="15890" width="4.140625" style="262" customWidth="1"/>
    <col min="15891" max="15896" width="4.42578125" style="262" customWidth="1"/>
    <col min="15897" max="15897" width="7" style="262" customWidth="1"/>
    <col min="15898" max="15898" width="0" style="262" hidden="1" customWidth="1"/>
    <col min="15899" max="15902" width="3.5703125" style="262" customWidth="1"/>
    <col min="15903" max="15904" width="3.5703125" style="262"/>
    <col min="15905" max="15906" width="0" style="262" hidden="1" customWidth="1"/>
    <col min="15907" max="15913" width="3.5703125" style="262"/>
    <col min="15914" max="15914" width="5.5703125" style="262" bestFit="1" customWidth="1"/>
    <col min="15915" max="15916" width="3.5703125" style="262"/>
    <col min="15917" max="15917" width="6.5703125" style="262" bestFit="1" customWidth="1"/>
    <col min="15918" max="15918" width="3.5703125" style="262"/>
    <col min="15919" max="15919" width="5.5703125" style="262" bestFit="1" customWidth="1"/>
    <col min="15920" max="16131" width="3.5703125" style="262"/>
    <col min="16132" max="16132" width="11.42578125" style="262" customWidth="1"/>
    <col min="16133" max="16133" width="1.85546875" style="262" customWidth="1"/>
    <col min="16134" max="16137" width="5.42578125" style="262" customWidth="1"/>
    <col min="16138" max="16138" width="10.42578125" style="262" customWidth="1"/>
    <col min="16139" max="16139" width="7.85546875" style="262" customWidth="1"/>
    <col min="16140" max="16140" width="8.85546875" style="262" customWidth="1"/>
    <col min="16141" max="16141" width="8.42578125" style="262" customWidth="1"/>
    <col min="16142" max="16142" width="4.42578125" style="262" customWidth="1"/>
    <col min="16143" max="16144" width="4.140625" style="262" customWidth="1"/>
    <col min="16145" max="16145" width="6.85546875" style="262" customWidth="1"/>
    <col min="16146" max="16146" width="4.140625" style="262" customWidth="1"/>
    <col min="16147" max="16152" width="4.42578125" style="262" customWidth="1"/>
    <col min="16153" max="16153" width="7" style="262" customWidth="1"/>
    <col min="16154" max="16154" width="0" style="262" hidden="1" customWidth="1"/>
    <col min="16155" max="16158" width="3.5703125" style="262" customWidth="1"/>
    <col min="16159" max="16160" width="3.5703125" style="262"/>
    <col min="16161" max="16162" width="0" style="262" hidden="1" customWidth="1"/>
    <col min="16163" max="16169" width="3.5703125" style="262"/>
    <col min="16170" max="16170" width="5.5703125" style="262" bestFit="1" customWidth="1"/>
    <col min="16171" max="16172" width="3.5703125" style="262"/>
    <col min="16173" max="16173" width="6.5703125" style="262" bestFit="1" customWidth="1"/>
    <col min="16174" max="16174" width="3.5703125" style="262"/>
    <col min="16175" max="16175" width="5.5703125" style="262" bestFit="1" customWidth="1"/>
    <col min="16176" max="16384" width="3.5703125" style="262"/>
  </cols>
  <sheetData>
    <row r="1" spans="2:36" s="7" customFormat="1" ht="9.9499999999999993" customHeight="1" x14ac:dyDescent="0.25">
      <c r="B1" s="584" t="s">
        <v>303</v>
      </c>
      <c r="C1" s="610"/>
      <c r="D1" s="610"/>
      <c r="E1" s="610"/>
      <c r="F1" s="610"/>
      <c r="G1" s="610"/>
      <c r="H1" s="610"/>
      <c r="I1" s="610"/>
      <c r="J1" s="610"/>
      <c r="K1" s="610"/>
      <c r="L1" s="610"/>
      <c r="M1" s="610"/>
      <c r="N1" s="610"/>
      <c r="O1" s="610"/>
      <c r="P1" s="610"/>
      <c r="Q1" s="610"/>
      <c r="R1" s="610"/>
      <c r="S1" s="610"/>
      <c r="T1" s="610"/>
      <c r="U1" s="610"/>
      <c r="V1" s="610"/>
      <c r="W1" s="610"/>
      <c r="X1" s="610"/>
      <c r="Y1" s="610"/>
      <c r="AB1" s="263"/>
      <c r="AC1" s="263"/>
      <c r="AD1" s="263"/>
      <c r="AE1" s="263"/>
      <c r="AF1" s="263"/>
      <c r="AG1" s="263"/>
      <c r="AH1" s="263"/>
      <c r="AI1" s="263"/>
      <c r="AJ1" s="263"/>
    </row>
    <row r="2" spans="2:36" s="7" customFormat="1" ht="9.9499999999999993" customHeight="1" x14ac:dyDescent="0.25"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610"/>
      <c r="AB2" s="263"/>
      <c r="AC2" s="263"/>
      <c r="AD2" s="263"/>
      <c r="AE2" s="263"/>
      <c r="AF2" s="263"/>
      <c r="AG2" s="263"/>
      <c r="AH2" s="263"/>
      <c r="AI2" s="263"/>
      <c r="AJ2" s="263"/>
    </row>
    <row r="3" spans="2:36" s="7" customFormat="1" ht="9.9499999999999993" customHeight="1" x14ac:dyDescent="0.25"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  <c r="P3" s="610"/>
      <c r="Q3" s="610"/>
      <c r="R3" s="610"/>
      <c r="S3" s="610"/>
      <c r="T3" s="610"/>
      <c r="U3" s="610"/>
      <c r="V3" s="610"/>
      <c r="W3" s="610"/>
      <c r="X3" s="610"/>
      <c r="Y3" s="610"/>
      <c r="AB3" s="263"/>
      <c r="AC3" s="263"/>
      <c r="AD3" s="263"/>
      <c r="AE3" s="263"/>
      <c r="AF3" s="263"/>
      <c r="AG3" s="263"/>
      <c r="AH3" s="263"/>
      <c r="AI3" s="263"/>
      <c r="AJ3" s="263"/>
    </row>
    <row r="4" spans="2:36" s="7" customFormat="1" ht="9.9499999999999993" customHeight="1" x14ac:dyDescent="0.25">
      <c r="B4" s="610"/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610"/>
      <c r="P4" s="610"/>
      <c r="Q4" s="610"/>
      <c r="R4" s="610"/>
      <c r="S4" s="610"/>
      <c r="T4" s="610"/>
      <c r="U4" s="610"/>
      <c r="V4" s="610"/>
      <c r="W4" s="610"/>
      <c r="X4" s="610"/>
      <c r="Y4" s="610"/>
      <c r="AB4" s="263"/>
      <c r="AC4" s="263"/>
      <c r="AD4" s="263"/>
      <c r="AE4" s="263"/>
      <c r="AF4" s="263"/>
      <c r="AG4" s="263"/>
      <c r="AH4" s="263"/>
      <c r="AI4" s="263"/>
      <c r="AJ4" s="263"/>
    </row>
    <row r="5" spans="2:36" s="7" customFormat="1" ht="9.9499999999999993" customHeight="1" x14ac:dyDescent="0.25">
      <c r="B5" s="610"/>
      <c r="C5" s="610"/>
      <c r="D5" s="610"/>
      <c r="E5" s="610"/>
      <c r="F5" s="610"/>
      <c r="G5" s="610"/>
      <c r="H5" s="610"/>
      <c r="I5" s="610"/>
      <c r="J5" s="610"/>
      <c r="K5" s="610"/>
      <c r="L5" s="610"/>
      <c r="M5" s="610"/>
      <c r="N5" s="610"/>
      <c r="O5" s="610"/>
      <c r="P5" s="610"/>
      <c r="Q5" s="610"/>
      <c r="R5" s="610"/>
      <c r="S5" s="610"/>
      <c r="T5" s="610"/>
      <c r="U5" s="610"/>
      <c r="V5" s="610"/>
      <c r="W5" s="610"/>
      <c r="X5" s="610"/>
      <c r="Y5" s="610"/>
      <c r="AB5" s="263"/>
      <c r="AC5" s="263"/>
      <c r="AD5" s="263"/>
      <c r="AE5" s="263"/>
      <c r="AF5" s="263"/>
      <c r="AG5" s="263"/>
      <c r="AH5" s="263"/>
      <c r="AI5" s="263"/>
      <c r="AJ5" s="263"/>
    </row>
    <row r="6" spans="2:36" s="7" customFormat="1" ht="9.9499999999999993" customHeight="1" x14ac:dyDescent="0.25">
      <c r="B6" s="610"/>
      <c r="C6" s="610"/>
      <c r="D6" s="610"/>
      <c r="E6" s="610"/>
      <c r="F6" s="610"/>
      <c r="G6" s="610"/>
      <c r="H6" s="610"/>
      <c r="I6" s="610"/>
      <c r="J6" s="610"/>
      <c r="K6" s="610"/>
      <c r="L6" s="610"/>
      <c r="M6" s="610"/>
      <c r="N6" s="610"/>
      <c r="O6" s="610"/>
      <c r="P6" s="610"/>
      <c r="Q6" s="610"/>
      <c r="R6" s="610"/>
      <c r="S6" s="610"/>
      <c r="T6" s="610"/>
      <c r="U6" s="610"/>
      <c r="V6" s="610"/>
      <c r="W6" s="610"/>
      <c r="X6" s="610"/>
      <c r="Y6" s="610"/>
      <c r="AB6" s="263"/>
      <c r="AC6" s="263"/>
      <c r="AD6" s="263"/>
      <c r="AE6" s="263"/>
      <c r="AF6" s="263"/>
      <c r="AG6" s="263"/>
      <c r="AH6" s="263"/>
      <c r="AI6" s="263"/>
      <c r="AJ6" s="263"/>
    </row>
    <row r="7" spans="2:36" s="7" customFormat="1" ht="15" x14ac:dyDescent="0.25">
      <c r="AB7" s="263"/>
      <c r="AC7" s="263"/>
      <c r="AD7" s="263"/>
      <c r="AE7" s="263"/>
      <c r="AF7" s="263"/>
      <c r="AG7" s="263"/>
      <c r="AH7" s="263"/>
      <c r="AI7" s="263"/>
      <c r="AJ7" s="263"/>
    </row>
    <row r="8" spans="2:36" s="261" customFormat="1" ht="15" customHeight="1" x14ac:dyDescent="0.25">
      <c r="B8" s="8" t="s">
        <v>50</v>
      </c>
      <c r="D8" s="13" t="str">
        <f>'DADOS DA OBRA'!$B$13</f>
        <v>TRIBUNAL REGIONAL ELEITORAL - PIAUÍ</v>
      </c>
      <c r="F8" s="9"/>
      <c r="G8" s="9"/>
      <c r="H8" s="9"/>
      <c r="I8" s="9"/>
      <c r="J8" s="9"/>
      <c r="K8" s="9"/>
      <c r="X8" s="10" t="s">
        <v>51</v>
      </c>
      <c r="Y8" s="11" t="str">
        <f>+'CURVA ABC - SERVIÇOS'!G8</f>
        <v>22/11/2021</v>
      </c>
      <c r="AB8" s="264"/>
      <c r="AC8" s="264"/>
      <c r="AD8" s="264"/>
      <c r="AE8" s="264"/>
      <c r="AF8" s="264"/>
      <c r="AG8" s="264"/>
      <c r="AH8" s="264"/>
      <c r="AI8" s="264"/>
      <c r="AJ8" s="264"/>
    </row>
    <row r="9" spans="2:36" s="261" customFormat="1" ht="15" customHeight="1" x14ac:dyDescent="0.25">
      <c r="B9" s="8" t="s">
        <v>69</v>
      </c>
      <c r="D9" s="13" t="str">
        <f>'DADOS DA OBRA'!$B$16</f>
        <v>ADEQUAÇÃO DE INSTALAÇÕES ELÉTRICAS E CABEAMENTO ESTRUTURADO - EDIFÍCIO SEDE</v>
      </c>
      <c r="F9" s="12"/>
      <c r="G9" s="12"/>
      <c r="H9" s="12"/>
      <c r="I9" s="12"/>
      <c r="J9" s="12"/>
      <c r="K9" s="12"/>
      <c r="X9" s="10" t="s">
        <v>52</v>
      </c>
      <c r="Y9" s="11">
        <f>+'CURVA ABC - SERVIÇOS'!G9</f>
        <v>44733</v>
      </c>
      <c r="AB9" s="264"/>
      <c r="AC9" s="264"/>
      <c r="AD9" s="264"/>
      <c r="AE9" s="264"/>
      <c r="AF9" s="264"/>
      <c r="AG9" s="264"/>
      <c r="AH9" s="264"/>
      <c r="AI9" s="264"/>
      <c r="AJ9" s="264"/>
    </row>
    <row r="10" spans="2:36" s="261" customFormat="1" ht="15" customHeight="1" x14ac:dyDescent="0.25">
      <c r="B10" s="8" t="s">
        <v>53</v>
      </c>
      <c r="D10" s="13" t="str">
        <f>+""&amp;'DADOS DA OBRA'!$B$19&amp;", "&amp;'DADOS DA OBRA'!$J$22&amp;", "&amp;'DADOS DA OBRA'!$P$22</f>
        <v>PRAÇA EDGAR NOGUEIRA, TERESINA, PI</v>
      </c>
      <c r="F10" s="12"/>
      <c r="G10" s="12"/>
      <c r="H10" s="12"/>
      <c r="I10" s="12"/>
      <c r="J10" s="12"/>
      <c r="K10" s="12"/>
      <c r="X10" s="10" t="s">
        <v>71</v>
      </c>
      <c r="Y10" s="294">
        <f>+'CURVA ABC - SERVIÇOS'!J8</f>
        <v>1.1186</v>
      </c>
      <c r="AB10" s="264"/>
      <c r="AC10" s="264"/>
      <c r="AD10" s="264"/>
      <c r="AE10" s="264"/>
      <c r="AF10" s="264"/>
      <c r="AG10" s="264"/>
      <c r="AH10" s="264"/>
      <c r="AI10" s="264"/>
      <c r="AJ10" s="264"/>
    </row>
    <row r="11" spans="2:36" ht="60" customHeight="1" x14ac:dyDescent="0.25">
      <c r="B11" s="8" t="s">
        <v>70</v>
      </c>
      <c r="D11" s="480" t="str">
        <f>+'DADOS DA OBRA'!$B$31</f>
        <v>SINAPI - 04/2022 - PIAUÍ   	SBC - 05/2022 - TSA - Teresina - PI  ORSE - 03/2022 - SERGIPE      ETOP - 03/2022 - Minas Gerais - Central SUDECAP - 02/2022 - MINAS GERAIS    CPOS - 02/2022 - São Paulo AGESUL - 01/2022 - MATO GROSSO DO SUL     GETOP CIVIL - 04/2022 - Goiás EMOP - 04/2022 - RIO DE JANEIRO</v>
      </c>
      <c r="E11" s="480"/>
      <c r="F11" s="480"/>
      <c r="G11" s="480"/>
      <c r="H11" s="480"/>
      <c r="I11" s="480"/>
      <c r="J11" s="480"/>
      <c r="K11" s="480"/>
      <c r="L11" s="480"/>
      <c r="M11" s="480"/>
      <c r="N11" s="480"/>
      <c r="O11" s="480"/>
      <c r="P11" s="480"/>
      <c r="Q11" s="480"/>
      <c r="R11" s="480"/>
      <c r="S11" s="480"/>
      <c r="X11" s="10" t="s">
        <v>72</v>
      </c>
      <c r="Y11" s="294">
        <f>+'CURVA ABC - SERVIÇOS'!J9</f>
        <v>0.70630000000000004</v>
      </c>
      <c r="Z11" s="262"/>
    </row>
    <row r="12" spans="2:36" s="1" customFormat="1" ht="6.95" customHeight="1" x14ac:dyDescent="0.25">
      <c r="I12" s="2"/>
      <c r="J12" s="3"/>
      <c r="K12" s="3"/>
      <c r="L12" s="4"/>
      <c r="M12" s="5"/>
      <c r="N12" s="6"/>
      <c r="AB12" s="266"/>
      <c r="AC12" s="266"/>
      <c r="AD12" s="266"/>
      <c r="AE12" s="266"/>
      <c r="AF12" s="266"/>
      <c r="AG12" s="266"/>
      <c r="AH12" s="266"/>
      <c r="AI12" s="266"/>
      <c r="AJ12" s="266"/>
    </row>
    <row r="13" spans="2:36" ht="20.100000000000001" customHeight="1" x14ac:dyDescent="0.25">
      <c r="B13" s="583"/>
      <c r="C13" s="583"/>
      <c r="D13" s="583"/>
      <c r="E13" s="583"/>
      <c r="F13" s="583"/>
      <c r="G13" s="585"/>
      <c r="H13" s="585"/>
      <c r="I13" s="585"/>
      <c r="J13" s="585"/>
      <c r="K13" s="585"/>
      <c r="L13" s="585"/>
      <c r="M13" s="585"/>
      <c r="N13" s="585"/>
      <c r="O13" s="585"/>
      <c r="P13" s="585"/>
      <c r="Q13" s="585"/>
      <c r="R13" s="585"/>
      <c r="S13" s="585"/>
      <c r="T13" s="585"/>
      <c r="U13" s="585"/>
      <c r="V13" s="585"/>
      <c r="W13" s="585"/>
      <c r="X13" s="585"/>
      <c r="Y13" s="585"/>
      <c r="AB13" s="254"/>
      <c r="AC13" s="254"/>
      <c r="AD13" s="254"/>
      <c r="AE13" s="254"/>
    </row>
    <row r="14" spans="2:36" ht="20.100000000000001" customHeight="1" x14ac:dyDescent="0.25">
      <c r="B14" s="583" t="s">
        <v>38</v>
      </c>
      <c r="C14" s="583"/>
      <c r="D14" s="583"/>
      <c r="E14" s="583"/>
      <c r="F14" s="583"/>
      <c r="G14" s="589" t="str">
        <f>+'BDI OBRA - DESONERADO'!G14:Y14</f>
        <v>TERESINA - PI</v>
      </c>
      <c r="H14" s="589"/>
      <c r="I14" s="589"/>
      <c r="J14" s="589"/>
      <c r="K14" s="589"/>
      <c r="L14" s="589"/>
      <c r="M14" s="589"/>
      <c r="N14" s="589"/>
      <c r="O14" s="589"/>
      <c r="P14" s="589"/>
      <c r="Q14" s="589"/>
      <c r="R14" s="589"/>
      <c r="S14" s="589"/>
      <c r="T14" s="589"/>
      <c r="U14" s="589"/>
      <c r="V14" s="589"/>
      <c r="W14" s="589"/>
      <c r="X14" s="589"/>
      <c r="Y14" s="589"/>
      <c r="AB14" s="254"/>
      <c r="AC14" s="254"/>
      <c r="AD14" s="254"/>
      <c r="AE14" s="254"/>
    </row>
    <row r="15" spans="2:36" ht="20.100000000000001" customHeight="1" x14ac:dyDescent="0.25">
      <c r="B15" s="583" t="s">
        <v>39</v>
      </c>
      <c r="C15" s="583"/>
      <c r="D15" s="583"/>
      <c r="E15" s="583"/>
      <c r="F15" s="583"/>
      <c r="G15" s="589" t="s">
        <v>81</v>
      </c>
      <c r="H15" s="589"/>
      <c r="I15" s="589"/>
      <c r="J15" s="589"/>
      <c r="K15" s="589"/>
      <c r="L15" s="589"/>
      <c r="M15" s="589"/>
      <c r="N15" s="589"/>
      <c r="O15" s="589"/>
      <c r="P15" s="589"/>
      <c r="Q15" s="589"/>
      <c r="R15" s="589"/>
      <c r="S15" s="589"/>
      <c r="T15" s="589"/>
      <c r="U15" s="589"/>
      <c r="V15" s="589"/>
      <c r="W15" s="589"/>
      <c r="X15" s="589"/>
      <c r="Y15" s="589"/>
      <c r="AB15" s="254"/>
      <c r="AC15" s="254"/>
      <c r="AD15" s="254"/>
      <c r="AE15" s="254"/>
    </row>
    <row r="16" spans="2:36" ht="20.100000000000001" customHeight="1" x14ac:dyDescent="0.25">
      <c r="B16" s="583" t="s">
        <v>82</v>
      </c>
      <c r="C16" s="583"/>
      <c r="D16" s="583"/>
      <c r="E16" s="583"/>
      <c r="F16" s="583"/>
      <c r="G16" s="588">
        <v>0.6</v>
      </c>
      <c r="H16" s="588"/>
      <c r="I16" s="588"/>
      <c r="J16" s="56" t="s">
        <v>87</v>
      </c>
      <c r="K16" s="55">
        <f>+'BDI OBRA - DESONERADO'!K16</f>
        <v>0.03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AB16" s="254"/>
      <c r="AC16" s="254"/>
      <c r="AD16" s="254"/>
      <c r="AE16" s="254"/>
    </row>
    <row r="17" spans="1:47" ht="20.100000000000001" customHeight="1" x14ac:dyDescent="0.25">
      <c r="B17" s="267"/>
      <c r="C17" s="267"/>
      <c r="D17" s="267"/>
      <c r="E17" s="267"/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</row>
    <row r="18" spans="1:47" ht="20.100000000000001" customHeight="1" x14ac:dyDescent="0.25"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</row>
    <row r="19" spans="1:47" ht="20.100000000000001" customHeight="1" thickBot="1" x14ac:dyDescent="0.3">
      <c r="B19" s="267"/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267"/>
      <c r="W19" s="267"/>
      <c r="X19" s="267"/>
      <c r="Y19" s="267"/>
    </row>
    <row r="20" spans="1:47" ht="24.75" customHeight="1" x14ac:dyDescent="0.25">
      <c r="B20" s="12"/>
      <c r="C20" s="12"/>
      <c r="D20" s="12"/>
      <c r="E20" s="590" t="s">
        <v>83</v>
      </c>
      <c r="F20" s="591"/>
      <c r="G20" s="591"/>
      <c r="H20" s="591"/>
      <c r="I20" s="594" t="s">
        <v>40</v>
      </c>
      <c r="J20" s="594"/>
      <c r="K20" s="594"/>
      <c r="L20" s="595"/>
      <c r="O20" s="268"/>
      <c r="P20" s="598" t="s">
        <v>296</v>
      </c>
      <c r="Q20" s="599"/>
      <c r="R20" s="599"/>
      <c r="S20" s="599"/>
      <c r="T20" s="599"/>
      <c r="U20" s="599"/>
      <c r="V20" s="600"/>
      <c r="W20" s="268"/>
      <c r="X20" s="268"/>
      <c r="Y20" s="268"/>
      <c r="AA20" s="269"/>
      <c r="AB20" s="270"/>
      <c r="AC20" s="270"/>
      <c r="AD20" s="270"/>
      <c r="AM20" s="269"/>
      <c r="AN20" s="269"/>
      <c r="AO20" s="269"/>
      <c r="AP20" s="269"/>
      <c r="AQ20" s="269"/>
      <c r="AR20" s="269"/>
      <c r="AS20" s="269"/>
      <c r="AT20" s="269"/>
      <c r="AU20" s="269"/>
    </row>
    <row r="21" spans="1:47" ht="20.100000000000001" customHeight="1" thickBot="1" x14ac:dyDescent="0.3">
      <c r="B21" s="12"/>
      <c r="C21" s="12"/>
      <c r="D21" s="12"/>
      <c r="E21" s="592"/>
      <c r="F21" s="593"/>
      <c r="G21" s="593"/>
      <c r="H21" s="593"/>
      <c r="I21" s="596"/>
      <c r="J21" s="596"/>
      <c r="K21" s="596"/>
      <c r="L21" s="597"/>
      <c r="O21" s="53"/>
      <c r="P21" s="271" t="s">
        <v>297</v>
      </c>
      <c r="Q21" s="53"/>
      <c r="R21" s="53"/>
      <c r="S21" s="53" t="s">
        <v>298</v>
      </c>
      <c r="T21" s="53"/>
      <c r="U21" s="53"/>
      <c r="V21" s="272" t="s">
        <v>299</v>
      </c>
      <c r="W21" s="53"/>
      <c r="X21" s="53"/>
      <c r="Y21" s="53"/>
      <c r="AC21" s="254"/>
      <c r="AD21" s="254"/>
    </row>
    <row r="22" spans="1:47" ht="20.100000000000001" customHeight="1" x14ac:dyDescent="0.25">
      <c r="B22" s="12"/>
      <c r="C22" s="12"/>
      <c r="D22" s="12"/>
      <c r="E22" s="273" t="s">
        <v>73</v>
      </c>
      <c r="F22" s="274"/>
      <c r="G22" s="274"/>
      <c r="H22" s="274"/>
      <c r="I22" s="601">
        <v>3.45</v>
      </c>
      <c r="J22" s="601"/>
      <c r="K22" s="601"/>
      <c r="L22" s="602"/>
      <c r="O22" s="53"/>
      <c r="P22" s="271">
        <v>1.5</v>
      </c>
      <c r="Q22" s="53"/>
      <c r="R22" s="53"/>
      <c r="S22" s="53">
        <v>3.45</v>
      </c>
      <c r="T22" s="53"/>
      <c r="U22" s="53"/>
      <c r="V22" s="272">
        <v>4.49</v>
      </c>
      <c r="W22" s="53"/>
      <c r="X22" s="53"/>
      <c r="Y22" s="53"/>
      <c r="AC22" s="254"/>
      <c r="AD22" s="254"/>
    </row>
    <row r="23" spans="1:47" ht="20.100000000000001" customHeight="1" x14ac:dyDescent="0.25">
      <c r="B23" s="12"/>
      <c r="C23" s="12"/>
      <c r="D23" s="12"/>
      <c r="E23" s="273" t="s">
        <v>74</v>
      </c>
      <c r="F23" s="274"/>
      <c r="G23" s="274"/>
      <c r="H23" s="274"/>
      <c r="I23" s="586">
        <v>0.48</v>
      </c>
      <c r="J23" s="586"/>
      <c r="K23" s="586"/>
      <c r="L23" s="587"/>
      <c r="O23" s="53"/>
      <c r="P23" s="271">
        <v>0.3</v>
      </c>
      <c r="Q23" s="53"/>
      <c r="R23" s="53"/>
      <c r="S23" s="53">
        <v>0.48</v>
      </c>
      <c r="T23" s="53"/>
      <c r="U23" s="53"/>
      <c r="V23" s="272">
        <v>0.82</v>
      </c>
      <c r="W23" s="53"/>
      <c r="X23" s="53"/>
      <c r="Y23" s="53"/>
      <c r="AC23" s="254"/>
      <c r="AD23" s="254"/>
    </row>
    <row r="24" spans="1:47" ht="20.100000000000001" customHeight="1" x14ac:dyDescent="0.25">
      <c r="B24" s="12"/>
      <c r="C24" s="12"/>
      <c r="D24" s="12"/>
      <c r="E24" s="273" t="s">
        <v>75</v>
      </c>
      <c r="F24" s="274"/>
      <c r="G24" s="274"/>
      <c r="H24" s="274"/>
      <c r="I24" s="586">
        <v>0.85</v>
      </c>
      <c r="J24" s="586"/>
      <c r="K24" s="586"/>
      <c r="L24" s="587"/>
      <c r="O24" s="53"/>
      <c r="P24" s="271">
        <v>0.56000000000000005</v>
      </c>
      <c r="Q24" s="53"/>
      <c r="R24" s="53"/>
      <c r="S24" s="53">
        <v>0.85</v>
      </c>
      <c r="T24" s="53"/>
      <c r="U24" s="53"/>
      <c r="V24" s="272">
        <v>0.89</v>
      </c>
      <c r="W24" s="53"/>
      <c r="X24" s="53"/>
      <c r="Y24" s="53"/>
      <c r="AC24" s="254"/>
      <c r="AD24" s="254"/>
    </row>
    <row r="25" spans="1:47" ht="20.100000000000001" customHeight="1" x14ac:dyDescent="0.25">
      <c r="B25" s="12"/>
      <c r="C25" s="12"/>
      <c r="D25" s="12"/>
      <c r="E25" s="273" t="s">
        <v>76</v>
      </c>
      <c r="F25" s="274"/>
      <c r="G25" s="274"/>
      <c r="H25" s="274"/>
      <c r="I25" s="586">
        <v>0.85</v>
      </c>
      <c r="J25" s="586"/>
      <c r="K25" s="586"/>
      <c r="L25" s="587"/>
      <c r="O25" s="53"/>
      <c r="P25" s="271">
        <v>0.85</v>
      </c>
      <c r="Q25" s="53"/>
      <c r="R25" s="53"/>
      <c r="S25" s="53">
        <v>0.85</v>
      </c>
      <c r="T25" s="53"/>
      <c r="U25" s="53"/>
      <c r="V25" s="272">
        <v>1.1100000000000001</v>
      </c>
      <c r="W25" s="53"/>
      <c r="X25" s="53"/>
      <c r="Y25" s="53"/>
      <c r="AC25" s="254"/>
      <c r="AD25" s="254"/>
    </row>
    <row r="26" spans="1:47" ht="20.100000000000001" customHeight="1" x14ac:dyDescent="0.25">
      <c r="B26" s="12"/>
      <c r="C26" s="12"/>
      <c r="D26" s="12"/>
      <c r="E26" s="273" t="s">
        <v>77</v>
      </c>
      <c r="F26" s="274"/>
      <c r="G26" s="274"/>
      <c r="H26" s="274"/>
      <c r="I26" s="586">
        <v>5.1100000000000003</v>
      </c>
      <c r="J26" s="586"/>
      <c r="K26" s="586"/>
      <c r="L26" s="587"/>
      <c r="O26" s="53"/>
      <c r="P26" s="271">
        <v>3.5</v>
      </c>
      <c r="Q26" s="53"/>
      <c r="R26" s="53"/>
      <c r="S26" s="53">
        <v>5.1100000000000003</v>
      </c>
      <c r="T26" s="53"/>
      <c r="U26" s="53"/>
      <c r="V26" s="272">
        <v>6.22</v>
      </c>
      <c r="W26" s="53"/>
      <c r="X26" s="53"/>
      <c r="Y26" s="53"/>
      <c r="Z26" s="296"/>
      <c r="AA26" s="297"/>
      <c r="AB26" s="275"/>
      <c r="AC26" s="254"/>
      <c r="AD26" s="254"/>
    </row>
    <row r="27" spans="1:47" ht="20.100000000000001" customHeight="1" x14ac:dyDescent="0.25">
      <c r="B27" s="12"/>
      <c r="C27" s="12"/>
      <c r="D27" s="12"/>
      <c r="E27" s="273" t="s">
        <v>78</v>
      </c>
      <c r="F27" s="274"/>
      <c r="G27" s="274"/>
      <c r="H27" s="274"/>
      <c r="I27" s="586">
        <v>0.65</v>
      </c>
      <c r="J27" s="586"/>
      <c r="K27" s="586"/>
      <c r="L27" s="587"/>
      <c r="O27" s="53"/>
      <c r="P27" s="271">
        <v>0.65</v>
      </c>
      <c r="Q27" s="53"/>
      <c r="R27" s="53"/>
      <c r="S27" s="53">
        <v>0.65</v>
      </c>
      <c r="T27" s="53"/>
      <c r="U27" s="53"/>
      <c r="V27" s="272">
        <v>0.65</v>
      </c>
      <c r="W27" s="53"/>
      <c r="X27" s="53"/>
      <c r="Y27" s="53"/>
      <c r="AC27" s="254"/>
      <c r="AD27" s="254"/>
    </row>
    <row r="28" spans="1:47" ht="20.100000000000001" customHeight="1" x14ac:dyDescent="0.25">
      <c r="B28" s="12"/>
      <c r="C28" s="12"/>
      <c r="D28" s="12"/>
      <c r="E28" s="273" t="s">
        <v>79</v>
      </c>
      <c r="F28" s="274"/>
      <c r="G28" s="274"/>
      <c r="H28" s="274"/>
      <c r="I28" s="586">
        <v>3</v>
      </c>
      <c r="J28" s="586"/>
      <c r="K28" s="586"/>
      <c r="L28" s="587"/>
      <c r="O28" s="53"/>
      <c r="P28" s="271">
        <v>3</v>
      </c>
      <c r="Q28" s="53"/>
      <c r="R28" s="53"/>
      <c r="S28" s="53">
        <v>3</v>
      </c>
      <c r="T28" s="53"/>
      <c r="U28" s="53"/>
      <c r="V28" s="272">
        <v>3</v>
      </c>
      <c r="W28" s="53"/>
      <c r="X28" s="53"/>
      <c r="Y28" s="53"/>
      <c r="AC28" s="254"/>
      <c r="AD28" s="254"/>
    </row>
    <row r="29" spans="1:47" ht="20.100000000000001" customHeight="1" thickBot="1" x14ac:dyDescent="0.3">
      <c r="B29" s="12"/>
      <c r="C29" s="12"/>
      <c r="D29" s="12"/>
      <c r="E29" s="273" t="s">
        <v>80</v>
      </c>
      <c r="F29" s="274"/>
      <c r="G29" s="274"/>
      <c r="H29" s="274"/>
      <c r="I29" s="586"/>
      <c r="J29" s="586"/>
      <c r="K29" s="586"/>
      <c r="L29" s="587"/>
      <c r="O29" s="53"/>
      <c r="P29" s="276">
        <v>2</v>
      </c>
      <c r="Q29" s="277"/>
      <c r="R29" s="277"/>
      <c r="S29" s="277">
        <v>2</v>
      </c>
      <c r="T29" s="277"/>
      <c r="U29" s="277"/>
      <c r="V29" s="278">
        <v>5</v>
      </c>
      <c r="W29" s="53"/>
      <c r="X29" s="53"/>
      <c r="Y29" s="53"/>
      <c r="AC29" s="254"/>
      <c r="AD29" s="254"/>
    </row>
    <row r="30" spans="1:47" ht="20.100000000000001" customHeight="1" thickBot="1" x14ac:dyDescent="0.3">
      <c r="B30" s="12"/>
      <c r="C30" s="12"/>
      <c r="D30" s="12"/>
      <c r="E30" s="273" t="s">
        <v>84</v>
      </c>
      <c r="F30" s="274"/>
      <c r="G30" s="274"/>
      <c r="H30" s="274"/>
      <c r="I30" s="586">
        <v>4.5</v>
      </c>
      <c r="J30" s="586"/>
      <c r="K30" s="586"/>
      <c r="L30" s="587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AB30" s="279"/>
      <c r="AC30" s="254"/>
      <c r="AD30" s="254"/>
      <c r="AE30" s="254"/>
      <c r="AF30" s="254"/>
      <c r="AG30" s="254"/>
      <c r="AH30" s="254"/>
      <c r="AI30" s="254"/>
      <c r="AJ30" s="254"/>
    </row>
    <row r="31" spans="1:47" ht="25.5" customHeight="1" thickBot="1" x14ac:dyDescent="0.3">
      <c r="A31" s="54"/>
      <c r="B31" s="292"/>
      <c r="C31" s="280"/>
      <c r="D31" s="281"/>
      <c r="E31" s="282" t="s">
        <v>41</v>
      </c>
      <c r="F31" s="283"/>
      <c r="G31" s="283"/>
      <c r="H31" s="283"/>
      <c r="I31" s="603">
        <f>TRUNC((((((1+I22/100+I23/100+I24/100)*(1+I25/100)*(1+I26/100))/(1-(I27/100+I28/100+I29/100+I30/100)))-1)*100),2)</f>
        <v>20.92</v>
      </c>
      <c r="J31" s="603"/>
      <c r="K31" s="603"/>
      <c r="L31" s="604"/>
      <c r="M31" s="284"/>
      <c r="N31" s="284"/>
      <c r="O31" s="284"/>
      <c r="P31" s="598" t="s">
        <v>300</v>
      </c>
      <c r="Q31" s="599"/>
      <c r="R31" s="599"/>
      <c r="S31" s="599"/>
      <c r="T31" s="599"/>
      <c r="U31" s="599"/>
      <c r="V31" s="600"/>
      <c r="W31" s="284"/>
      <c r="X31" s="284"/>
      <c r="Y31" s="12"/>
      <c r="Z31" s="54"/>
      <c r="AB31" s="285"/>
      <c r="AC31" s="285"/>
      <c r="AD31" s="285"/>
      <c r="AE31" s="285"/>
      <c r="AF31" s="285"/>
      <c r="AG31" s="285"/>
      <c r="AH31" s="285"/>
      <c r="AI31" s="285"/>
      <c r="AJ31" s="285"/>
    </row>
    <row r="32" spans="1:47" ht="20.100000000000001" customHeight="1" thickBot="1" x14ac:dyDescent="0.3">
      <c r="A32" s="54"/>
      <c r="B32" s="292"/>
      <c r="C32" s="280"/>
      <c r="D32" s="281"/>
      <c r="E32" s="281"/>
      <c r="F32" s="281"/>
      <c r="G32" s="281"/>
      <c r="H32" s="281"/>
      <c r="I32" s="281"/>
      <c r="J32" s="281"/>
      <c r="K32" s="284"/>
      <c r="L32" s="284"/>
      <c r="M32" s="284"/>
      <c r="N32" s="284"/>
      <c r="O32" s="284"/>
      <c r="P32" s="276">
        <v>11.1</v>
      </c>
      <c r="Q32" s="277"/>
      <c r="R32" s="277"/>
      <c r="S32" s="277">
        <v>14.02</v>
      </c>
      <c r="T32" s="277"/>
      <c r="U32" s="277"/>
      <c r="V32" s="278">
        <v>16.8</v>
      </c>
      <c r="W32" s="284"/>
      <c r="X32" s="284"/>
      <c r="Y32" s="12"/>
      <c r="Z32" s="54"/>
      <c r="AB32" s="285"/>
      <c r="AC32" s="285"/>
      <c r="AD32" s="285"/>
      <c r="AE32" s="285"/>
      <c r="AF32" s="285"/>
      <c r="AG32" s="285"/>
      <c r="AH32" s="285"/>
      <c r="AI32" s="285"/>
      <c r="AJ32" s="285"/>
    </row>
    <row r="33" spans="1:36" ht="20.100000000000001" customHeight="1" x14ac:dyDescent="0.25">
      <c r="A33" s="54"/>
      <c r="B33" s="292"/>
      <c r="C33" s="280"/>
      <c r="D33" s="281"/>
      <c r="E33" s="281"/>
      <c r="F33" s="281"/>
      <c r="G33" s="281"/>
      <c r="H33" s="281"/>
      <c r="I33" s="281"/>
      <c r="J33" s="281"/>
      <c r="K33" s="284"/>
      <c r="L33" s="284"/>
      <c r="M33" s="284"/>
      <c r="N33" s="284"/>
      <c r="O33" s="284"/>
      <c r="P33" s="608"/>
      <c r="Q33" s="608"/>
      <c r="R33" s="608"/>
      <c r="S33" s="608"/>
      <c r="T33" s="608"/>
      <c r="U33" s="608"/>
      <c r="V33" s="608"/>
      <c r="W33" s="284"/>
      <c r="X33" s="284"/>
      <c r="Y33" s="12"/>
      <c r="Z33" s="54"/>
      <c r="AB33" s="285"/>
      <c r="AC33" s="285"/>
      <c r="AD33" s="285"/>
      <c r="AE33" s="285"/>
      <c r="AF33" s="285"/>
      <c r="AG33" s="285"/>
      <c r="AH33" s="285"/>
      <c r="AI33" s="285"/>
      <c r="AJ33" s="285"/>
    </row>
    <row r="34" spans="1:36" ht="23.1" customHeight="1" x14ac:dyDescent="0.25">
      <c r="B34" s="605" t="s">
        <v>85</v>
      </c>
      <c r="C34" s="605"/>
      <c r="D34" s="605"/>
      <c r="E34" s="605"/>
      <c r="F34" s="605"/>
      <c r="G34" s="605"/>
      <c r="H34" s="605"/>
      <c r="I34" s="605"/>
      <c r="J34" s="605"/>
      <c r="K34" s="605"/>
      <c r="L34" s="605"/>
      <c r="M34" s="605"/>
      <c r="N34" s="605"/>
      <c r="O34" s="605"/>
      <c r="P34" s="605"/>
      <c r="Q34" s="605"/>
      <c r="R34" s="605"/>
      <c r="S34" s="605"/>
      <c r="T34" s="605"/>
      <c r="U34" s="605"/>
      <c r="V34" s="605"/>
      <c r="W34" s="605"/>
      <c r="X34" s="605"/>
      <c r="Y34" s="605"/>
      <c r="AB34" s="254"/>
      <c r="AC34" s="254"/>
      <c r="AD34" s="286"/>
      <c r="AE34" s="287"/>
      <c r="AF34" s="254"/>
      <c r="AG34" s="254"/>
      <c r="AH34" s="254"/>
      <c r="AI34" s="254"/>
      <c r="AJ34" s="254"/>
    </row>
    <row r="35" spans="1:36" ht="9.9499999999999993" customHeight="1" x14ac:dyDescent="0.25">
      <c r="B35" s="609"/>
      <c r="C35" s="609"/>
      <c r="D35" s="609"/>
      <c r="E35" s="609"/>
      <c r="F35" s="609"/>
      <c r="G35" s="609"/>
      <c r="H35" s="609"/>
      <c r="I35" s="609"/>
      <c r="J35" s="609"/>
      <c r="K35" s="609"/>
      <c r="L35" s="609"/>
      <c r="M35" s="609"/>
      <c r="N35" s="609"/>
      <c r="O35" s="609"/>
      <c r="P35" s="609"/>
      <c r="Q35" s="609"/>
      <c r="R35" s="609"/>
      <c r="S35" s="609"/>
      <c r="T35" s="609"/>
      <c r="U35" s="609"/>
      <c r="V35" s="609"/>
      <c r="W35" s="609"/>
      <c r="X35" s="609"/>
      <c r="Y35" s="609"/>
      <c r="AB35" s="254"/>
      <c r="AC35" s="254"/>
      <c r="AD35" s="254"/>
      <c r="AE35" s="254"/>
      <c r="AF35" s="254"/>
      <c r="AG35" s="254"/>
      <c r="AH35" s="254"/>
      <c r="AI35" s="254"/>
      <c r="AJ35" s="254"/>
    </row>
    <row r="36" spans="1:36" ht="23.1" customHeight="1" x14ac:dyDescent="0.25">
      <c r="B36" s="606" t="s">
        <v>86</v>
      </c>
      <c r="C36" s="606"/>
      <c r="D36" s="606"/>
      <c r="E36" s="606"/>
      <c r="F36" s="606"/>
      <c r="G36" s="606"/>
      <c r="H36" s="606"/>
      <c r="I36" s="606"/>
      <c r="J36" s="606"/>
      <c r="K36" s="606"/>
      <c r="L36" s="606"/>
      <c r="M36" s="606"/>
      <c r="N36" s="606"/>
      <c r="O36" s="606"/>
      <c r="P36" s="606"/>
      <c r="Q36" s="606"/>
      <c r="R36" s="606"/>
      <c r="S36" s="606"/>
      <c r="T36" s="606"/>
      <c r="U36" s="606"/>
      <c r="V36" s="606"/>
      <c r="W36" s="606"/>
      <c r="X36" s="606"/>
      <c r="Y36" s="606"/>
      <c r="AB36" s="254"/>
      <c r="AC36" s="254"/>
      <c r="AD36" s="286"/>
      <c r="AE36" s="254"/>
      <c r="AF36" s="254"/>
      <c r="AG36" s="254"/>
      <c r="AH36" s="254"/>
      <c r="AI36" s="254"/>
      <c r="AJ36" s="254"/>
    </row>
    <row r="37" spans="1:36" ht="23.1" customHeight="1" x14ac:dyDescent="0.25">
      <c r="B37" s="607"/>
      <c r="C37" s="607"/>
      <c r="D37" s="607"/>
      <c r="E37" s="607"/>
      <c r="F37" s="607"/>
      <c r="G37" s="607"/>
      <c r="H37" s="607"/>
      <c r="I37" s="607"/>
      <c r="J37" s="607"/>
      <c r="K37" s="607"/>
      <c r="L37" s="607"/>
      <c r="M37" s="607"/>
      <c r="N37" s="607"/>
      <c r="O37" s="607"/>
      <c r="P37" s="607"/>
      <c r="Q37" s="607"/>
      <c r="R37" s="607"/>
      <c r="S37" s="607"/>
      <c r="T37" s="607"/>
      <c r="U37" s="607"/>
      <c r="V37" s="607"/>
      <c r="W37" s="607"/>
      <c r="X37" s="607"/>
      <c r="Y37" s="607"/>
      <c r="AB37" s="254"/>
      <c r="AC37" s="254"/>
      <c r="AD37" s="254"/>
      <c r="AE37" s="254"/>
      <c r="AF37" s="254"/>
      <c r="AG37" s="254"/>
      <c r="AH37" s="254"/>
      <c r="AI37" s="254"/>
      <c r="AJ37" s="254"/>
    </row>
    <row r="38" spans="1:36" ht="23.1" customHeight="1" x14ac:dyDescent="0.25">
      <c r="B38" s="293"/>
      <c r="C38" s="293"/>
      <c r="D38" s="293"/>
      <c r="E38" s="293"/>
      <c r="F38" s="293"/>
      <c r="G38" s="293"/>
      <c r="H38" s="293"/>
      <c r="I38" s="293"/>
      <c r="J38" s="293"/>
      <c r="K38" s="293"/>
      <c r="L38" s="293"/>
      <c r="M38" s="293"/>
      <c r="N38" s="293"/>
      <c r="O38" s="293"/>
      <c r="P38" s="293"/>
      <c r="Q38" s="293"/>
      <c r="R38" s="293"/>
      <c r="S38" s="293"/>
      <c r="T38" s="293"/>
      <c r="U38" s="293"/>
      <c r="V38" s="293"/>
      <c r="W38" s="293"/>
      <c r="X38" s="293"/>
      <c r="Y38" s="293"/>
    </row>
    <row r="39" spans="1:36" ht="23.1" customHeight="1" x14ac:dyDescent="0.25">
      <c r="A39" s="54"/>
      <c r="B39" s="292" t="s">
        <v>88</v>
      </c>
      <c r="C39" s="288"/>
      <c r="D39" s="288"/>
      <c r="E39" s="288"/>
      <c r="F39" s="288"/>
      <c r="G39" s="288"/>
      <c r="H39" s="288"/>
      <c r="I39" s="288"/>
      <c r="J39" s="280"/>
      <c r="K39" s="280"/>
      <c r="L39" s="280"/>
      <c r="M39" s="289"/>
      <c r="N39" s="289"/>
      <c r="O39" s="289"/>
      <c r="P39" s="290"/>
      <c r="Q39" s="290"/>
      <c r="R39" s="290"/>
      <c r="S39" s="290"/>
      <c r="T39" s="290"/>
      <c r="U39" s="290"/>
      <c r="V39" s="290"/>
      <c r="W39" s="290"/>
      <c r="X39" s="290"/>
      <c r="Y39" s="290"/>
      <c r="Z39" s="54"/>
    </row>
    <row r="40" spans="1:36" ht="23.1" customHeight="1" x14ac:dyDescent="0.25">
      <c r="A40" s="54"/>
      <c r="B40" s="292" t="s">
        <v>89</v>
      </c>
      <c r="C40" s="280"/>
      <c r="D40" s="281"/>
      <c r="E40" s="281"/>
      <c r="F40" s="281"/>
      <c r="G40" s="281"/>
      <c r="H40" s="281"/>
      <c r="I40" s="281"/>
      <c r="J40" s="281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12"/>
      <c r="Z40" s="54"/>
      <c r="AB40" s="285"/>
      <c r="AC40" s="285"/>
      <c r="AD40" s="285"/>
      <c r="AE40" s="285"/>
      <c r="AF40" s="285"/>
      <c r="AG40" s="285"/>
      <c r="AH40" s="285"/>
      <c r="AI40" s="285"/>
      <c r="AJ40" s="285"/>
    </row>
    <row r="41" spans="1:36" ht="23.1" customHeight="1" x14ac:dyDescent="0.25">
      <c r="A41" s="54"/>
      <c r="B41" s="292" t="s">
        <v>90</v>
      </c>
      <c r="C41" s="280"/>
      <c r="D41" s="281"/>
      <c r="E41" s="281"/>
      <c r="F41" s="281"/>
      <c r="G41" s="281"/>
      <c r="H41" s="281"/>
      <c r="I41" s="281"/>
      <c r="J41" s="281"/>
      <c r="K41" s="284"/>
      <c r="L41" s="284"/>
      <c r="M41" s="284"/>
      <c r="N41" s="284"/>
      <c r="O41" s="284"/>
      <c r="P41" s="284"/>
      <c r="Q41" s="284"/>
      <c r="R41" s="284"/>
      <c r="S41" s="284"/>
      <c r="T41" s="284"/>
      <c r="U41" s="284"/>
      <c r="V41" s="284"/>
      <c r="W41" s="284"/>
      <c r="X41" s="284"/>
      <c r="Y41" s="12"/>
      <c r="Z41" s="54"/>
      <c r="AB41" s="285"/>
      <c r="AC41" s="285"/>
      <c r="AD41" s="285"/>
      <c r="AE41" s="285"/>
      <c r="AF41" s="285"/>
      <c r="AG41" s="285"/>
      <c r="AH41" s="285"/>
      <c r="AI41" s="285"/>
      <c r="AJ41" s="285"/>
    </row>
    <row r="42" spans="1:36" ht="23.1" customHeight="1" x14ac:dyDescent="0.25">
      <c r="A42" s="54"/>
      <c r="B42" s="292" t="s">
        <v>91</v>
      </c>
      <c r="C42" s="288"/>
      <c r="D42" s="288"/>
      <c r="E42" s="288"/>
      <c r="F42" s="288"/>
      <c r="G42" s="288"/>
      <c r="H42" s="288"/>
      <c r="I42" s="288"/>
      <c r="J42" s="280"/>
      <c r="K42" s="280"/>
      <c r="L42" s="280"/>
      <c r="M42" s="289"/>
      <c r="N42" s="289"/>
      <c r="O42" s="289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54"/>
    </row>
    <row r="43" spans="1:36" ht="23.1" customHeight="1" x14ac:dyDescent="0.25">
      <c r="A43" s="54"/>
      <c r="B43" s="292" t="s">
        <v>92</v>
      </c>
      <c r="C43" s="280"/>
      <c r="D43" s="281"/>
      <c r="E43" s="281"/>
      <c r="F43" s="281"/>
      <c r="G43" s="281"/>
      <c r="H43" s="281"/>
      <c r="I43" s="281"/>
      <c r="J43" s="281"/>
      <c r="K43" s="284"/>
      <c r="L43" s="284"/>
      <c r="M43" s="284"/>
      <c r="N43" s="284"/>
      <c r="O43" s="284"/>
      <c r="P43" s="284"/>
      <c r="Q43" s="284"/>
      <c r="R43" s="284"/>
      <c r="S43" s="284"/>
      <c r="T43" s="284"/>
      <c r="U43" s="284"/>
      <c r="V43" s="284"/>
      <c r="W43" s="284"/>
      <c r="X43" s="284"/>
      <c r="Y43" s="12"/>
      <c r="Z43" s="54"/>
      <c r="AB43" s="285"/>
      <c r="AC43" s="285"/>
      <c r="AD43" s="285"/>
      <c r="AE43" s="285"/>
      <c r="AF43" s="285"/>
      <c r="AG43" s="285"/>
      <c r="AH43" s="285"/>
      <c r="AI43" s="285"/>
      <c r="AJ43" s="285"/>
    </row>
    <row r="44" spans="1:36" ht="23.1" customHeight="1" x14ac:dyDescent="0.25">
      <c r="A44" s="54"/>
      <c r="B44" s="292" t="s">
        <v>93</v>
      </c>
      <c r="C44" s="280"/>
      <c r="D44" s="281"/>
      <c r="E44" s="281"/>
      <c r="F44" s="281"/>
      <c r="G44" s="281"/>
      <c r="H44" s="281"/>
      <c r="I44" s="281"/>
      <c r="J44" s="281"/>
      <c r="K44" s="284"/>
      <c r="L44" s="284"/>
      <c r="M44" s="284"/>
      <c r="N44" s="284"/>
      <c r="O44" s="284"/>
      <c r="P44" s="284"/>
      <c r="Q44" s="284"/>
      <c r="R44" s="284"/>
      <c r="S44" s="284"/>
      <c r="T44" s="284"/>
      <c r="U44" s="284"/>
      <c r="V44" s="284"/>
      <c r="W44" s="284"/>
      <c r="X44" s="284"/>
      <c r="Y44" s="12"/>
      <c r="Z44" s="54"/>
      <c r="AB44" s="285"/>
      <c r="AC44" s="285"/>
      <c r="AD44" s="285"/>
      <c r="AE44" s="285"/>
      <c r="AF44" s="285"/>
      <c r="AG44" s="285"/>
      <c r="AH44" s="285"/>
      <c r="AI44" s="285"/>
      <c r="AJ44" s="285"/>
    </row>
    <row r="45" spans="1:36" ht="23.1" customHeight="1" x14ac:dyDescent="0.25">
      <c r="A45" s="54"/>
      <c r="B45" s="280"/>
      <c r="C45" s="280"/>
      <c r="D45" s="281"/>
      <c r="E45" s="281"/>
      <c r="F45" s="281"/>
      <c r="G45" s="281"/>
      <c r="H45" s="281"/>
      <c r="I45" s="281"/>
      <c r="J45" s="281"/>
      <c r="K45" s="284"/>
      <c r="L45" s="284"/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12"/>
      <c r="Z45" s="54"/>
      <c r="AB45" s="285"/>
      <c r="AC45" s="285"/>
      <c r="AD45" s="285"/>
      <c r="AE45" s="285"/>
      <c r="AF45" s="285"/>
      <c r="AG45" s="285"/>
      <c r="AH45" s="285"/>
      <c r="AI45" s="285"/>
      <c r="AJ45" s="285"/>
    </row>
    <row r="46" spans="1:36" s="54" customFormat="1" ht="23.1" customHeight="1" x14ac:dyDescent="0.25">
      <c r="B46" s="505" t="s">
        <v>42</v>
      </c>
      <c r="C46" s="505"/>
      <c r="D46" s="505"/>
      <c r="E46" s="505"/>
      <c r="F46" s="505"/>
      <c r="G46" s="505"/>
      <c r="H46" s="505"/>
      <c r="I46" s="505"/>
      <c r="J46" s="505"/>
      <c r="K46" s="505"/>
      <c r="L46" s="505"/>
      <c r="M46" s="505"/>
      <c r="N46" s="505"/>
      <c r="O46" s="505"/>
      <c r="P46" s="505"/>
      <c r="Q46" s="505"/>
      <c r="R46" s="505"/>
      <c r="S46" s="505"/>
      <c r="T46" s="505"/>
      <c r="U46" s="505"/>
      <c r="V46" s="505"/>
      <c r="W46" s="505"/>
      <c r="X46" s="505"/>
      <c r="Y46" s="505"/>
      <c r="Z46" s="295"/>
      <c r="AB46" s="291"/>
      <c r="AC46" s="291"/>
      <c r="AD46" s="291"/>
      <c r="AE46" s="291"/>
      <c r="AF46" s="291"/>
      <c r="AG46" s="291"/>
      <c r="AH46" s="291"/>
      <c r="AI46" s="291"/>
      <c r="AJ46" s="291"/>
    </row>
    <row r="47" spans="1:36" s="54" customFormat="1" ht="23.1" customHeight="1" x14ac:dyDescent="0.25">
      <c r="B47" s="676" t="s">
        <v>1647</v>
      </c>
      <c r="C47" s="676"/>
      <c r="D47" s="676"/>
      <c r="E47" s="676"/>
      <c r="F47" s="676"/>
      <c r="G47" s="676"/>
      <c r="H47" s="676"/>
      <c r="I47" s="676"/>
      <c r="J47" s="676"/>
      <c r="K47" s="676"/>
      <c r="L47" s="676"/>
      <c r="M47" s="676"/>
      <c r="N47" s="676"/>
      <c r="O47" s="676"/>
      <c r="P47" s="676"/>
      <c r="Q47" s="676"/>
      <c r="R47" s="676"/>
      <c r="S47" s="676"/>
      <c r="T47" s="676"/>
      <c r="U47" s="676"/>
      <c r="V47" s="676"/>
      <c r="W47" s="676"/>
      <c r="X47" s="676"/>
      <c r="Y47" s="676"/>
      <c r="Z47" s="295"/>
      <c r="AB47" s="291"/>
      <c r="AC47" s="291"/>
      <c r="AD47" s="291"/>
      <c r="AE47" s="291"/>
      <c r="AF47" s="291"/>
      <c r="AG47" s="291"/>
      <c r="AH47" s="291"/>
      <c r="AI47" s="291"/>
      <c r="AJ47" s="291"/>
    </row>
    <row r="48" spans="1:36" s="54" customFormat="1" ht="23.1" customHeight="1" x14ac:dyDescent="0.25">
      <c r="B48" s="676"/>
      <c r="C48" s="676"/>
      <c r="D48" s="676"/>
      <c r="E48" s="676"/>
      <c r="F48" s="676"/>
      <c r="G48" s="676"/>
      <c r="H48" s="676"/>
      <c r="I48" s="676"/>
      <c r="J48" s="676"/>
      <c r="K48" s="676"/>
      <c r="L48" s="676"/>
      <c r="M48" s="676"/>
      <c r="N48" s="676"/>
      <c r="O48" s="676"/>
      <c r="P48" s="676"/>
      <c r="Q48" s="676"/>
      <c r="R48" s="676"/>
      <c r="S48" s="676"/>
      <c r="T48" s="676"/>
      <c r="U48" s="676"/>
      <c r="V48" s="676"/>
      <c r="W48" s="676"/>
      <c r="X48" s="676"/>
      <c r="Y48" s="676"/>
      <c r="Z48" s="295"/>
      <c r="AB48" s="291"/>
      <c r="AC48" s="291"/>
      <c r="AD48" s="291"/>
      <c r="AE48" s="291"/>
      <c r="AF48" s="291"/>
      <c r="AG48" s="291"/>
      <c r="AH48" s="291"/>
      <c r="AI48" s="291"/>
      <c r="AJ48" s="291"/>
    </row>
    <row r="49" spans="2:36" s="54" customFormat="1" ht="23.1" customHeight="1" x14ac:dyDescent="0.25">
      <c r="B49" s="676"/>
      <c r="C49" s="676"/>
      <c r="D49" s="676"/>
      <c r="E49" s="676"/>
      <c r="F49" s="676"/>
      <c r="G49" s="676"/>
      <c r="H49" s="676"/>
      <c r="I49" s="676"/>
      <c r="J49" s="676"/>
      <c r="K49" s="676"/>
      <c r="L49" s="676"/>
      <c r="M49" s="676"/>
      <c r="N49" s="676"/>
      <c r="O49" s="676"/>
      <c r="P49" s="676"/>
      <c r="Q49" s="676"/>
      <c r="R49" s="676"/>
      <c r="S49" s="676"/>
      <c r="T49" s="676"/>
      <c r="U49" s="676"/>
      <c r="V49" s="676"/>
      <c r="W49" s="676"/>
      <c r="X49" s="676"/>
      <c r="Y49" s="676"/>
      <c r="Z49" s="295"/>
      <c r="AB49" s="291"/>
      <c r="AC49" s="291"/>
      <c r="AD49" s="291"/>
      <c r="AE49" s="291"/>
      <c r="AF49" s="291"/>
      <c r="AG49" s="291"/>
      <c r="AH49" s="291"/>
      <c r="AI49" s="291"/>
      <c r="AJ49" s="291"/>
    </row>
    <row r="50" spans="2:36" s="54" customFormat="1" ht="12.75" customHeight="1" x14ac:dyDescent="0.25">
      <c r="B50" s="290"/>
      <c r="C50" s="290"/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290"/>
      <c r="O50" s="290"/>
      <c r="P50" s="290"/>
      <c r="Q50" s="290"/>
      <c r="R50" s="290"/>
      <c r="S50" s="290"/>
      <c r="T50" s="290"/>
      <c r="U50" s="290"/>
      <c r="V50" s="290"/>
      <c r="W50" s="290"/>
      <c r="X50" s="290"/>
      <c r="Y50" s="290"/>
      <c r="Z50" s="295"/>
      <c r="AB50" s="291"/>
      <c r="AC50" s="291"/>
      <c r="AD50" s="291"/>
      <c r="AE50" s="291"/>
      <c r="AF50" s="291"/>
      <c r="AG50" s="291"/>
      <c r="AH50" s="291"/>
      <c r="AI50" s="291"/>
      <c r="AJ50" s="291"/>
    </row>
    <row r="51" spans="2:36" s="54" customFormat="1" x14ac:dyDescent="0.25">
      <c r="B51" s="290"/>
      <c r="C51" s="290"/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5"/>
      <c r="AB51" s="291"/>
      <c r="AC51" s="291"/>
      <c r="AD51" s="291"/>
      <c r="AE51" s="291"/>
      <c r="AF51" s="291"/>
      <c r="AG51" s="291"/>
      <c r="AH51" s="291"/>
      <c r="AI51" s="291"/>
      <c r="AJ51" s="291"/>
    </row>
    <row r="52" spans="2:36" s="54" customFormat="1" x14ac:dyDescent="0.25">
      <c r="B52" s="290"/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5"/>
      <c r="AB52" s="291"/>
      <c r="AC52" s="291"/>
      <c r="AD52" s="291"/>
      <c r="AE52" s="291"/>
      <c r="AF52" s="291"/>
      <c r="AG52" s="291"/>
      <c r="AH52" s="291"/>
      <c r="AI52" s="291"/>
      <c r="AJ52" s="291"/>
    </row>
    <row r="53" spans="2:36" s="54" customFormat="1" x14ac:dyDescent="0.25">
      <c r="B53" s="290"/>
      <c r="C53" s="290"/>
      <c r="D53" s="290"/>
      <c r="E53" s="290"/>
      <c r="F53" s="290"/>
      <c r="G53" s="290"/>
      <c r="H53" s="290"/>
      <c r="I53" s="290"/>
      <c r="J53" s="290"/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  <c r="W53" s="290"/>
      <c r="X53" s="290"/>
      <c r="Y53" s="290"/>
      <c r="Z53" s="295"/>
      <c r="AB53" s="291"/>
      <c r="AC53" s="291"/>
      <c r="AD53" s="291"/>
      <c r="AE53" s="291"/>
      <c r="AF53" s="291"/>
      <c r="AG53" s="291"/>
      <c r="AH53" s="291"/>
      <c r="AI53" s="291"/>
      <c r="AJ53" s="291"/>
    </row>
    <row r="54" spans="2:36" s="54" customFormat="1" x14ac:dyDescent="0.25">
      <c r="B54" s="290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5"/>
      <c r="AB54" s="291"/>
      <c r="AC54" s="291"/>
      <c r="AD54" s="291"/>
      <c r="AE54" s="291"/>
      <c r="AF54" s="291"/>
      <c r="AG54" s="291"/>
      <c r="AH54" s="291"/>
      <c r="AI54" s="291"/>
      <c r="AJ54" s="291"/>
    </row>
    <row r="55" spans="2:36" s="54" customFormat="1" x14ac:dyDescent="0.25">
      <c r="B55" s="290"/>
      <c r="C55" s="290"/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5"/>
      <c r="AB55" s="291"/>
      <c r="AC55" s="291"/>
      <c r="AD55" s="291"/>
      <c r="AE55" s="291"/>
      <c r="AF55" s="291"/>
      <c r="AG55" s="291"/>
      <c r="AH55" s="291"/>
      <c r="AI55" s="291"/>
      <c r="AJ55" s="291"/>
    </row>
    <row r="56" spans="2:36" s="54" customFormat="1" x14ac:dyDescent="0.25">
      <c r="B56" s="290"/>
      <c r="C56" s="290"/>
      <c r="D56" s="290"/>
      <c r="E56" s="290"/>
      <c r="F56" s="290"/>
      <c r="G56" s="290"/>
      <c r="H56" s="290"/>
      <c r="I56" s="290"/>
      <c r="J56" s="290"/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5"/>
      <c r="AB56" s="291"/>
      <c r="AC56" s="291"/>
      <c r="AD56" s="291"/>
      <c r="AE56" s="291"/>
      <c r="AF56" s="291"/>
      <c r="AG56" s="291"/>
      <c r="AH56" s="291"/>
      <c r="AI56" s="291"/>
      <c r="AJ56" s="291"/>
    </row>
    <row r="57" spans="2:36" s="54" customFormat="1" x14ac:dyDescent="0.25">
      <c r="B57" s="290"/>
      <c r="C57" s="290"/>
      <c r="D57" s="290"/>
      <c r="E57" s="290"/>
      <c r="F57" s="290"/>
      <c r="G57" s="290"/>
      <c r="H57" s="290"/>
      <c r="I57" s="290"/>
      <c r="J57" s="290"/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5"/>
      <c r="AB57" s="291"/>
      <c r="AC57" s="291"/>
      <c r="AD57" s="291"/>
      <c r="AE57" s="291"/>
      <c r="AF57" s="291"/>
      <c r="AG57" s="291"/>
      <c r="AH57" s="291"/>
      <c r="AI57" s="291"/>
      <c r="AJ57" s="291"/>
    </row>
    <row r="58" spans="2:36" s="54" customFormat="1" x14ac:dyDescent="0.25">
      <c r="B58" s="290"/>
      <c r="C58" s="290"/>
      <c r="D58" s="290"/>
      <c r="E58" s="290"/>
      <c r="F58" s="290"/>
      <c r="G58" s="290"/>
      <c r="H58" s="290"/>
      <c r="I58" s="290"/>
      <c r="J58" s="290"/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5"/>
      <c r="AB58" s="291"/>
      <c r="AC58" s="291"/>
      <c r="AD58" s="291"/>
      <c r="AE58" s="291"/>
      <c r="AF58" s="291"/>
      <c r="AG58" s="291"/>
      <c r="AH58" s="291"/>
      <c r="AI58" s="291"/>
      <c r="AJ58" s="291"/>
    </row>
    <row r="59" spans="2:36" s="54" customFormat="1" x14ac:dyDescent="0.25">
      <c r="B59" s="290"/>
      <c r="C59" s="290"/>
      <c r="D59" s="290"/>
      <c r="E59" s="290"/>
      <c r="F59" s="290"/>
      <c r="G59" s="290"/>
      <c r="H59" s="290"/>
      <c r="I59" s="290"/>
      <c r="J59" s="290"/>
      <c r="K59" s="290"/>
      <c r="L59" s="290"/>
      <c r="M59" s="290"/>
      <c r="N59" s="290"/>
      <c r="O59" s="290"/>
      <c r="P59" s="290"/>
      <c r="Q59" s="290"/>
      <c r="R59" s="290"/>
      <c r="S59" s="290"/>
      <c r="T59" s="290"/>
      <c r="U59" s="290"/>
      <c r="V59" s="290"/>
      <c r="W59" s="290"/>
      <c r="X59" s="290"/>
      <c r="Y59" s="290"/>
      <c r="Z59" s="295"/>
      <c r="AB59" s="291"/>
      <c r="AC59" s="291"/>
      <c r="AD59" s="291"/>
      <c r="AE59" s="291"/>
      <c r="AF59" s="291"/>
      <c r="AG59" s="291"/>
      <c r="AH59" s="291"/>
      <c r="AI59" s="291"/>
      <c r="AJ59" s="291"/>
    </row>
    <row r="60" spans="2:36" s="54" customFormat="1" x14ac:dyDescent="0.25">
      <c r="B60" s="290"/>
      <c r="C60" s="290"/>
      <c r="D60" s="290"/>
      <c r="E60" s="290"/>
      <c r="F60" s="290"/>
      <c r="G60" s="290"/>
      <c r="H60" s="290"/>
      <c r="I60" s="290"/>
      <c r="J60" s="290"/>
      <c r="K60" s="290"/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5"/>
      <c r="AB60" s="291"/>
      <c r="AC60" s="291"/>
      <c r="AD60" s="291"/>
      <c r="AE60" s="291"/>
      <c r="AF60" s="291"/>
      <c r="AG60" s="291"/>
      <c r="AH60" s="291"/>
      <c r="AI60" s="291"/>
      <c r="AJ60" s="291"/>
    </row>
    <row r="61" spans="2:36" s="54" customFormat="1" x14ac:dyDescent="0.25"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5"/>
      <c r="AB61" s="291"/>
      <c r="AC61" s="291"/>
      <c r="AD61" s="291"/>
      <c r="AE61" s="291"/>
      <c r="AF61" s="291"/>
      <c r="AG61" s="291"/>
      <c r="AH61" s="291"/>
      <c r="AI61" s="291"/>
      <c r="AJ61" s="291"/>
    </row>
    <row r="62" spans="2:36" s="54" customFormat="1" x14ac:dyDescent="0.25">
      <c r="B62" s="290"/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  <c r="R62" s="290"/>
      <c r="S62" s="290"/>
      <c r="T62" s="290"/>
      <c r="U62" s="290"/>
      <c r="V62" s="290"/>
      <c r="W62" s="290"/>
      <c r="X62" s="290"/>
      <c r="Y62" s="290"/>
      <c r="Z62" s="295"/>
      <c r="AB62" s="291"/>
      <c r="AC62" s="291"/>
      <c r="AD62" s="291"/>
      <c r="AE62" s="291"/>
      <c r="AF62" s="291"/>
      <c r="AG62" s="291"/>
      <c r="AH62" s="291"/>
      <c r="AI62" s="291"/>
      <c r="AJ62" s="291"/>
    </row>
    <row r="63" spans="2:36" s="54" customFormat="1" x14ac:dyDescent="0.25">
      <c r="B63" s="290"/>
      <c r="C63" s="290"/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  <c r="R63" s="290"/>
      <c r="S63" s="290"/>
      <c r="T63" s="290"/>
      <c r="U63" s="290"/>
      <c r="V63" s="290"/>
      <c r="W63" s="290"/>
      <c r="X63" s="290"/>
      <c r="Y63" s="290"/>
      <c r="Z63" s="295"/>
      <c r="AB63" s="291"/>
      <c r="AC63" s="291"/>
      <c r="AD63" s="291"/>
      <c r="AE63" s="291"/>
      <c r="AF63" s="291"/>
      <c r="AG63" s="291"/>
      <c r="AH63" s="291"/>
      <c r="AI63" s="291"/>
      <c r="AJ63" s="291"/>
    </row>
    <row r="64" spans="2:36" s="54" customFormat="1" x14ac:dyDescent="0.25">
      <c r="B64" s="290"/>
      <c r="C64" s="290"/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0"/>
      <c r="O64" s="290"/>
      <c r="P64" s="290"/>
      <c r="Q64" s="290"/>
      <c r="R64" s="290"/>
      <c r="S64" s="290"/>
      <c r="T64" s="290"/>
      <c r="U64" s="290"/>
      <c r="V64" s="290"/>
      <c r="W64" s="290"/>
      <c r="X64" s="290"/>
      <c r="Y64" s="290"/>
      <c r="Z64" s="295"/>
      <c r="AB64" s="291"/>
      <c r="AC64" s="291"/>
      <c r="AD64" s="291"/>
      <c r="AE64" s="291"/>
      <c r="AF64" s="291"/>
      <c r="AG64" s="291"/>
      <c r="AH64" s="291"/>
      <c r="AI64" s="291"/>
      <c r="AJ64" s="291"/>
    </row>
    <row r="65" spans="2:36" s="54" customFormat="1" x14ac:dyDescent="0.25">
      <c r="B65" s="290"/>
      <c r="C65" s="290"/>
      <c r="D65" s="290"/>
      <c r="E65" s="290"/>
      <c r="F65" s="290"/>
      <c r="G65" s="290"/>
      <c r="H65" s="290"/>
      <c r="I65" s="290"/>
      <c r="J65" s="290"/>
      <c r="K65" s="290"/>
      <c r="L65" s="290"/>
      <c r="M65" s="290"/>
      <c r="N65" s="290"/>
      <c r="O65" s="290"/>
      <c r="P65" s="290"/>
      <c r="Q65" s="290"/>
      <c r="R65" s="290"/>
      <c r="S65" s="290"/>
      <c r="T65" s="290"/>
      <c r="U65" s="290"/>
      <c r="V65" s="290"/>
      <c r="W65" s="290"/>
      <c r="X65" s="290"/>
      <c r="Y65" s="290"/>
      <c r="Z65" s="295"/>
      <c r="AB65" s="291"/>
      <c r="AC65" s="291"/>
      <c r="AD65" s="291"/>
      <c r="AE65" s="291"/>
      <c r="AF65" s="291"/>
      <c r="AG65" s="291"/>
      <c r="AH65" s="291"/>
      <c r="AI65" s="291"/>
      <c r="AJ65" s="291"/>
    </row>
    <row r="66" spans="2:36" s="54" customFormat="1" x14ac:dyDescent="0.25">
      <c r="B66" s="290"/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290"/>
      <c r="T66" s="290"/>
      <c r="U66" s="290"/>
      <c r="V66" s="290"/>
      <c r="W66" s="290"/>
      <c r="X66" s="290"/>
      <c r="Y66" s="290"/>
      <c r="Z66" s="295"/>
      <c r="AB66" s="291"/>
      <c r="AC66" s="291"/>
      <c r="AD66" s="291"/>
      <c r="AE66" s="291"/>
      <c r="AF66" s="291"/>
      <c r="AG66" s="291"/>
      <c r="AH66" s="291"/>
      <c r="AI66" s="291"/>
      <c r="AJ66" s="291"/>
    </row>
    <row r="67" spans="2:36" s="54" customFormat="1" x14ac:dyDescent="0.25"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0"/>
      <c r="T67" s="290"/>
      <c r="U67" s="290"/>
      <c r="V67" s="290"/>
      <c r="W67" s="290"/>
      <c r="X67" s="290"/>
      <c r="Y67" s="290"/>
      <c r="Z67" s="295"/>
      <c r="AB67" s="291"/>
      <c r="AC67" s="291"/>
      <c r="AD67" s="291"/>
      <c r="AE67" s="291"/>
      <c r="AF67" s="291"/>
      <c r="AG67" s="291"/>
      <c r="AH67" s="291"/>
      <c r="AI67" s="291"/>
      <c r="AJ67" s="291"/>
    </row>
    <row r="68" spans="2:36" s="54" customFormat="1" x14ac:dyDescent="0.25">
      <c r="B68" s="290"/>
      <c r="C68" s="290"/>
      <c r="D68" s="290"/>
      <c r="E68" s="290"/>
      <c r="F68" s="290"/>
      <c r="G68" s="290"/>
      <c r="H68" s="290"/>
      <c r="I68" s="290"/>
      <c r="J68" s="290"/>
      <c r="K68" s="290"/>
      <c r="L68" s="290"/>
      <c r="M68" s="290"/>
      <c r="N68" s="290"/>
      <c r="O68" s="290"/>
      <c r="P68" s="290"/>
      <c r="Q68" s="290"/>
      <c r="R68" s="290"/>
      <c r="S68" s="290"/>
      <c r="T68" s="290"/>
      <c r="U68" s="290"/>
      <c r="V68" s="290"/>
      <c r="W68" s="290"/>
      <c r="X68" s="290"/>
      <c r="Y68" s="290"/>
      <c r="Z68" s="295"/>
      <c r="AB68" s="291"/>
      <c r="AC68" s="291"/>
      <c r="AD68" s="291"/>
      <c r="AE68" s="291"/>
      <c r="AF68" s="291"/>
      <c r="AG68" s="291"/>
      <c r="AH68" s="291"/>
      <c r="AI68" s="291"/>
      <c r="AJ68" s="291"/>
    </row>
    <row r="69" spans="2:36" s="54" customFormat="1" x14ac:dyDescent="0.25">
      <c r="Z69" s="295"/>
      <c r="AB69" s="291"/>
      <c r="AC69" s="291"/>
      <c r="AD69" s="291"/>
      <c r="AE69" s="291"/>
      <c r="AF69" s="291"/>
      <c r="AG69" s="291"/>
      <c r="AH69" s="291"/>
      <c r="AI69" s="291"/>
      <c r="AJ69" s="291"/>
    </row>
    <row r="70" spans="2:36" s="54" customFormat="1" x14ac:dyDescent="0.25">
      <c r="Z70" s="295"/>
      <c r="AB70" s="291"/>
      <c r="AC70" s="291"/>
      <c r="AD70" s="291"/>
      <c r="AE70" s="291"/>
      <c r="AF70" s="291"/>
      <c r="AG70" s="291"/>
      <c r="AH70" s="291"/>
      <c r="AI70" s="291"/>
      <c r="AJ70" s="291"/>
    </row>
    <row r="71" spans="2:36" s="54" customFormat="1" x14ac:dyDescent="0.25">
      <c r="Z71" s="295"/>
      <c r="AB71" s="291"/>
      <c r="AC71" s="291"/>
      <c r="AD71" s="291"/>
      <c r="AE71" s="291"/>
      <c r="AF71" s="291"/>
      <c r="AG71" s="291"/>
      <c r="AH71" s="291"/>
      <c r="AI71" s="291"/>
      <c r="AJ71" s="291"/>
    </row>
    <row r="72" spans="2:36" s="54" customFormat="1" x14ac:dyDescent="0.25">
      <c r="Z72" s="295"/>
      <c r="AB72" s="291"/>
      <c r="AC72" s="291"/>
      <c r="AD72" s="291"/>
      <c r="AE72" s="291"/>
      <c r="AF72" s="291"/>
      <c r="AG72" s="291"/>
      <c r="AH72" s="291"/>
      <c r="AI72" s="291"/>
      <c r="AJ72" s="291"/>
    </row>
    <row r="73" spans="2:36" s="54" customFormat="1" x14ac:dyDescent="0.25">
      <c r="Z73" s="295"/>
      <c r="AB73" s="291"/>
      <c r="AC73" s="291"/>
      <c r="AD73" s="291"/>
      <c r="AE73" s="291"/>
      <c r="AF73" s="291"/>
      <c r="AG73" s="291"/>
      <c r="AH73" s="291"/>
      <c r="AI73" s="291"/>
      <c r="AJ73" s="291"/>
    </row>
    <row r="74" spans="2:36" s="54" customFormat="1" x14ac:dyDescent="0.25">
      <c r="Z74" s="295"/>
      <c r="AB74" s="291"/>
      <c r="AC74" s="291"/>
      <c r="AD74" s="291"/>
      <c r="AE74" s="291"/>
      <c r="AF74" s="291"/>
      <c r="AG74" s="291"/>
      <c r="AH74" s="291"/>
      <c r="AI74" s="291"/>
      <c r="AJ74" s="291"/>
    </row>
  </sheetData>
  <mergeCells count="31">
    <mergeCell ref="B35:Y35"/>
    <mergeCell ref="B36:Y36"/>
    <mergeCell ref="B37:Y37"/>
    <mergeCell ref="B46:Y46"/>
    <mergeCell ref="B47:Y49"/>
    <mergeCell ref="B34:Y34"/>
    <mergeCell ref="I23:L23"/>
    <mergeCell ref="I24:L24"/>
    <mergeCell ref="I25:L25"/>
    <mergeCell ref="I26:L26"/>
    <mergeCell ref="I27:L27"/>
    <mergeCell ref="I28:L28"/>
    <mergeCell ref="I29:L29"/>
    <mergeCell ref="I30:L30"/>
    <mergeCell ref="I31:L31"/>
    <mergeCell ref="P31:V31"/>
    <mergeCell ref="P33:V33"/>
    <mergeCell ref="I22:L22"/>
    <mergeCell ref="B1:Y6"/>
    <mergeCell ref="B13:F13"/>
    <mergeCell ref="G13:Y13"/>
    <mergeCell ref="B14:F14"/>
    <mergeCell ref="G14:Y14"/>
    <mergeCell ref="B15:F15"/>
    <mergeCell ref="G15:Y15"/>
    <mergeCell ref="B16:F16"/>
    <mergeCell ref="G16:I16"/>
    <mergeCell ref="E20:H21"/>
    <mergeCell ref="I20:L21"/>
    <mergeCell ref="P20:V20"/>
    <mergeCell ref="D11:S11"/>
  </mergeCells>
  <conditionalFormatting sqref="G14:Y15">
    <cfRule type="cellIs" dxfId="1" priority="2" stopIfTrue="1" operator="equal">
      <formula>0</formula>
    </cfRule>
  </conditionalFormatting>
  <conditionalFormatting sqref="I22:I28">
    <cfRule type="cellIs" dxfId="0" priority="1" stopIfTrue="1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7" orientation="portrait" r:id="rId1"/>
  <headerFooter>
    <oddFooter>&amp;L&amp;"Arial Narrow,Normal"&amp;10&amp;A
&amp;F&amp;R&amp;"Arial Narrow,Normal"&amp;10Página &amp;P de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tabColor theme="4" tint="0.39997558519241921"/>
  </sheetPr>
  <dimension ref="A1:Q183"/>
  <sheetViews>
    <sheetView showGridLines="0" showZeros="0" view="pageBreakPreview" zoomScale="85" zoomScaleNormal="70" zoomScaleSheetLayoutView="85" workbookViewId="0"/>
  </sheetViews>
  <sheetFormatPr defaultColWidth="9.140625" defaultRowHeight="12.75" x14ac:dyDescent="0.25"/>
  <cols>
    <col min="1" max="1" width="1.5703125" style="21" customWidth="1"/>
    <col min="2" max="2" width="9.140625" style="21" customWidth="1"/>
    <col min="3" max="3" width="13" style="21" customWidth="1"/>
    <col min="4" max="4" width="11" style="21" customWidth="1"/>
    <col min="5" max="8" width="1.5703125" style="21" customWidth="1"/>
    <col min="9" max="12" width="16.5703125" style="21" customWidth="1"/>
    <col min="13" max="13" width="30.42578125" style="21" customWidth="1"/>
    <col min="14" max="14" width="8.42578125" style="21" customWidth="1"/>
    <col min="15" max="15" width="10.5703125" style="90" customWidth="1"/>
    <col min="16" max="16" width="10.5703125" style="79" customWidth="1"/>
    <col min="17" max="17" width="12.5703125" style="90" customWidth="1"/>
    <col min="18" max="18" width="1.5703125" style="21" customWidth="1"/>
    <col min="19" max="19" width="13" style="21" customWidth="1"/>
    <col min="20" max="20" width="11.5703125" style="21" bestFit="1" customWidth="1"/>
    <col min="21" max="21" width="47.42578125" style="21" bestFit="1" customWidth="1"/>
    <col min="22" max="22" width="11.42578125" style="21" bestFit="1" customWidth="1"/>
    <col min="23" max="16384" width="9.140625" style="21"/>
  </cols>
  <sheetData>
    <row r="1" spans="1:17" ht="9.9499999999999993" customHeight="1" x14ac:dyDescent="0.25">
      <c r="B1" s="469" t="s">
        <v>67</v>
      </c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469"/>
      <c r="O1" s="469"/>
      <c r="P1" s="469"/>
      <c r="Q1" s="469"/>
    </row>
    <row r="2" spans="1:17" ht="9.9499999999999993" customHeight="1" x14ac:dyDescent="0.25">
      <c r="B2" s="469"/>
      <c r="C2" s="469"/>
      <c r="D2" s="469"/>
      <c r="E2" s="469"/>
      <c r="F2" s="469"/>
      <c r="G2" s="469"/>
      <c r="H2" s="469"/>
      <c r="I2" s="469"/>
      <c r="J2" s="469"/>
      <c r="K2" s="469"/>
      <c r="L2" s="469"/>
      <c r="M2" s="469"/>
      <c r="N2" s="469"/>
      <c r="O2" s="469"/>
      <c r="P2" s="469"/>
      <c r="Q2" s="469"/>
    </row>
    <row r="3" spans="1:17" ht="9.9499999999999993" customHeight="1" x14ac:dyDescent="0.25">
      <c r="B3" s="469"/>
      <c r="C3" s="469"/>
      <c r="D3" s="469"/>
      <c r="E3" s="469"/>
      <c r="F3" s="469"/>
      <c r="G3" s="469"/>
      <c r="H3" s="469"/>
      <c r="I3" s="469"/>
      <c r="J3" s="469"/>
      <c r="K3" s="469"/>
      <c r="L3" s="469"/>
      <c r="M3" s="469"/>
      <c r="N3" s="469"/>
      <c r="O3" s="469"/>
      <c r="P3" s="469"/>
      <c r="Q3" s="469"/>
    </row>
    <row r="4" spans="1:17" ht="9.9499999999999993" customHeight="1" x14ac:dyDescent="0.25"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469"/>
      <c r="P4" s="469"/>
      <c r="Q4" s="469"/>
    </row>
    <row r="5" spans="1:17" ht="9.9499999999999993" customHeight="1" x14ac:dyDescent="0.25">
      <c r="B5" s="469"/>
      <c r="C5" s="469"/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</row>
    <row r="6" spans="1:17" ht="9.9499999999999993" customHeight="1" x14ac:dyDescent="0.25"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  <c r="Q6" s="469"/>
    </row>
    <row r="7" spans="1:17" x14ac:dyDescent="0.25">
      <c r="O7" s="21"/>
      <c r="P7" s="21"/>
      <c r="Q7" s="21"/>
    </row>
    <row r="8" spans="1:17" s="12" customFormat="1" ht="15" customHeight="1" x14ac:dyDescent="0.25">
      <c r="B8" s="8" t="s">
        <v>50</v>
      </c>
      <c r="C8" s="9" t="str">
        <f>+'ORÇ. SINTÉTICO ONERADO'!C8</f>
        <v>TRIBUNAL REGIONAL ELEITORAL - PIAUÍ</v>
      </c>
      <c r="F8" s="9"/>
      <c r="G8" s="9"/>
      <c r="H8" s="9"/>
      <c r="I8" s="9"/>
      <c r="J8" s="9"/>
      <c r="K8" s="9"/>
      <c r="O8" s="71"/>
      <c r="P8" s="10" t="s">
        <v>51</v>
      </c>
      <c r="Q8" s="11" t="str">
        <f>+'ORÇ. SINTÉTICO ONERADO'!P8</f>
        <v>22/11/2021</v>
      </c>
    </row>
    <row r="9" spans="1:17" s="12" customFormat="1" ht="15" customHeight="1" x14ac:dyDescent="0.25">
      <c r="B9" s="8" t="s">
        <v>69</v>
      </c>
      <c r="C9" s="9" t="str">
        <f>+'ORÇ. SINTÉTICO ONERADO'!C9</f>
        <v>ADEQUAÇÃO DE INSTALAÇÕES ELÉTRICAS E CABEAMENTO ESTRUTURADO - EDIFÍCIO SEDE</v>
      </c>
      <c r="P9" s="10" t="s">
        <v>52</v>
      </c>
      <c r="Q9" s="11">
        <f>+'ORÇ. SINTÉTICO ONERADO'!P9</f>
        <v>44733</v>
      </c>
    </row>
    <row r="10" spans="1:17" s="12" customFormat="1" ht="15" customHeight="1" x14ac:dyDescent="0.25">
      <c r="B10" s="8" t="s">
        <v>53</v>
      </c>
      <c r="C10" s="9" t="str">
        <f>+'ORÇ. SINTÉTICO ONERADO'!C10</f>
        <v>PRAÇA EDGAR NOGUEIRA, TERESINA, PI</v>
      </c>
    </row>
    <row r="11" spans="1:17" s="12" customFormat="1" ht="8.1" customHeight="1" x14ac:dyDescent="0.25">
      <c r="B11" s="10"/>
    </row>
    <row r="12" spans="1:17" s="12" customFormat="1" ht="12.75" customHeight="1" x14ac:dyDescent="0.25">
      <c r="B12" s="8" t="s">
        <v>54</v>
      </c>
      <c r="C12" s="9" t="s">
        <v>68</v>
      </c>
      <c r="P12" s="10" t="s">
        <v>55</v>
      </c>
      <c r="Q12" s="13" t="s">
        <v>66</v>
      </c>
    </row>
    <row r="13" spans="1:17" s="20" customFormat="1" ht="6.95" customHeight="1" thickBot="1" x14ac:dyDescent="0.3">
      <c r="I13" s="73"/>
      <c r="J13" s="74"/>
      <c r="K13" s="74"/>
      <c r="L13" s="75"/>
      <c r="M13" s="76"/>
      <c r="N13" s="77"/>
      <c r="O13" s="79"/>
    </row>
    <row r="14" spans="1:17" ht="27.95" customHeight="1" x14ac:dyDescent="0.25">
      <c r="A14" s="87"/>
      <c r="B14" s="683" t="s">
        <v>5</v>
      </c>
      <c r="C14" s="681" t="s">
        <v>30</v>
      </c>
      <c r="D14" s="681" t="s">
        <v>0</v>
      </c>
      <c r="E14" s="681" t="s">
        <v>6</v>
      </c>
      <c r="F14" s="681"/>
      <c r="G14" s="681"/>
      <c r="H14" s="681"/>
      <c r="I14" s="681"/>
      <c r="J14" s="681"/>
      <c r="K14" s="681"/>
      <c r="L14" s="681"/>
      <c r="M14" s="681"/>
      <c r="N14" s="681" t="s">
        <v>3</v>
      </c>
      <c r="O14" s="689" t="s">
        <v>414</v>
      </c>
      <c r="P14" s="687"/>
      <c r="Q14" s="685" t="s">
        <v>4</v>
      </c>
    </row>
    <row r="15" spans="1:17" ht="27.95" customHeight="1" thickBot="1" x14ac:dyDescent="0.3">
      <c r="A15" s="87"/>
      <c r="B15" s="684"/>
      <c r="C15" s="682"/>
      <c r="D15" s="682"/>
      <c r="E15" s="682"/>
      <c r="F15" s="682"/>
      <c r="G15" s="682"/>
      <c r="H15" s="682"/>
      <c r="I15" s="682"/>
      <c r="J15" s="682"/>
      <c r="K15" s="682"/>
      <c r="L15" s="682"/>
      <c r="M15" s="682"/>
      <c r="N15" s="682"/>
      <c r="O15" s="688"/>
      <c r="P15" s="688"/>
      <c r="Q15" s="686"/>
    </row>
    <row r="16" spans="1:17" s="20" customFormat="1" ht="30" customHeight="1" x14ac:dyDescent="0.25">
      <c r="A16" s="88"/>
      <c r="B16" s="24">
        <v>1</v>
      </c>
      <c r="C16" s="25"/>
      <c r="D16" s="26"/>
      <c r="E16" s="27"/>
      <c r="F16" s="28" t="s">
        <v>112</v>
      </c>
      <c r="G16" s="28"/>
      <c r="H16" s="28"/>
      <c r="I16" s="28"/>
      <c r="J16" s="28"/>
      <c r="K16" s="28"/>
      <c r="L16" s="28"/>
      <c r="M16" s="29"/>
      <c r="N16" s="30"/>
      <c r="O16" s="31"/>
      <c r="P16" s="31"/>
      <c r="Q16" s="32">
        <f>+SUM(P16:P16)</f>
        <v>0</v>
      </c>
    </row>
    <row r="17" spans="1:17" s="20" customFormat="1" ht="30" customHeight="1" x14ac:dyDescent="0.25">
      <c r="A17" s="89"/>
      <c r="B17" s="39" t="s">
        <v>17</v>
      </c>
      <c r="C17" s="40" t="s">
        <v>31</v>
      </c>
      <c r="D17" s="34">
        <v>101404</v>
      </c>
      <c r="E17" s="35"/>
      <c r="F17" s="36"/>
      <c r="G17" s="36"/>
      <c r="H17" s="677" t="s">
        <v>735</v>
      </c>
      <c r="I17" s="677"/>
      <c r="J17" s="677"/>
      <c r="K17" s="677"/>
      <c r="L17" s="677"/>
      <c r="M17" s="680"/>
      <c r="N17" s="37" t="s">
        <v>110</v>
      </c>
      <c r="O17" s="38">
        <v>5</v>
      </c>
      <c r="P17" s="31"/>
      <c r="Q17" s="32">
        <f t="shared" ref="Q17:Q48" si="0">+SUM(O17:P17)</f>
        <v>5</v>
      </c>
    </row>
    <row r="18" spans="1:17" s="20" customFormat="1" ht="30" customHeight="1" x14ac:dyDescent="0.25">
      <c r="A18" s="89"/>
      <c r="B18" s="39" t="s">
        <v>114</v>
      </c>
      <c r="C18" s="40" t="s">
        <v>31</v>
      </c>
      <c r="D18" s="34">
        <v>93572</v>
      </c>
      <c r="E18" s="35"/>
      <c r="F18" s="36"/>
      <c r="G18" s="36"/>
      <c r="H18" s="677" t="s">
        <v>113</v>
      </c>
      <c r="I18" s="677"/>
      <c r="J18" s="677"/>
      <c r="K18" s="677"/>
      <c r="L18" s="677"/>
      <c r="M18" s="680"/>
      <c r="N18" s="37" t="s">
        <v>110</v>
      </c>
      <c r="O18" s="38">
        <v>5</v>
      </c>
      <c r="P18" s="31"/>
      <c r="Q18" s="32">
        <f t="shared" si="0"/>
        <v>5</v>
      </c>
    </row>
    <row r="19" spans="1:17" s="20" customFormat="1" ht="30" customHeight="1" x14ac:dyDescent="0.25">
      <c r="A19" s="89"/>
      <c r="B19" s="39" t="s">
        <v>294</v>
      </c>
      <c r="C19" s="40" t="s">
        <v>211</v>
      </c>
      <c r="D19" s="34" t="s">
        <v>737</v>
      </c>
      <c r="E19" s="35"/>
      <c r="F19" s="36"/>
      <c r="G19" s="36"/>
      <c r="H19" s="677" t="s">
        <v>736</v>
      </c>
      <c r="I19" s="677"/>
      <c r="J19" s="677"/>
      <c r="K19" s="677"/>
      <c r="L19" s="677"/>
      <c r="M19" s="680"/>
      <c r="N19" s="37" t="s">
        <v>110</v>
      </c>
      <c r="O19" s="38">
        <v>5</v>
      </c>
      <c r="P19" s="31"/>
      <c r="Q19" s="32">
        <f t="shared" si="0"/>
        <v>5</v>
      </c>
    </row>
    <row r="20" spans="1:17" s="20" customFormat="1" ht="30" customHeight="1" x14ac:dyDescent="0.25">
      <c r="A20" s="88"/>
      <c r="B20" s="33">
        <v>0</v>
      </c>
      <c r="C20" s="41"/>
      <c r="D20" s="45"/>
      <c r="E20" s="27"/>
      <c r="F20" s="28"/>
      <c r="G20" s="43"/>
      <c r="H20" s="28"/>
      <c r="I20" s="28"/>
      <c r="J20" s="28"/>
      <c r="K20" s="28"/>
      <c r="L20" s="43"/>
      <c r="M20" s="29"/>
      <c r="N20" s="30"/>
      <c r="O20" s="31"/>
      <c r="P20" s="31"/>
      <c r="Q20" s="32">
        <f t="shared" si="0"/>
        <v>0</v>
      </c>
    </row>
    <row r="21" spans="1:17" s="20" customFormat="1" ht="30" customHeight="1" x14ac:dyDescent="0.25">
      <c r="A21" s="88"/>
      <c r="B21" s="24">
        <v>2</v>
      </c>
      <c r="C21" s="25"/>
      <c r="D21" s="26"/>
      <c r="E21" s="27"/>
      <c r="F21" s="28" t="s">
        <v>108</v>
      </c>
      <c r="G21" s="28"/>
      <c r="H21" s="28"/>
      <c r="I21" s="28"/>
      <c r="J21" s="28"/>
      <c r="K21" s="28"/>
      <c r="L21" s="28"/>
      <c r="M21" s="29"/>
      <c r="N21" s="30"/>
      <c r="O21" s="31"/>
      <c r="P21" s="31"/>
      <c r="Q21" s="32">
        <f t="shared" si="0"/>
        <v>0</v>
      </c>
    </row>
    <row r="22" spans="1:17" s="20" customFormat="1" ht="30" customHeight="1" x14ac:dyDescent="0.25">
      <c r="A22" s="89"/>
      <c r="B22" s="39" t="s">
        <v>18</v>
      </c>
      <c r="C22" s="40" t="s">
        <v>211</v>
      </c>
      <c r="D22" s="34" t="s">
        <v>259</v>
      </c>
      <c r="E22" s="35"/>
      <c r="F22" s="36"/>
      <c r="G22" s="36"/>
      <c r="H22" s="677" t="s">
        <v>733</v>
      </c>
      <c r="I22" s="677"/>
      <c r="J22" s="677"/>
      <c r="K22" s="677"/>
      <c r="L22" s="677"/>
      <c r="M22" s="680"/>
      <c r="N22" s="37" t="s">
        <v>110</v>
      </c>
      <c r="O22" s="38">
        <v>5</v>
      </c>
      <c r="P22" s="31"/>
      <c r="Q22" s="32">
        <f t="shared" si="0"/>
        <v>5</v>
      </c>
    </row>
    <row r="23" spans="1:17" s="20" customFormat="1" ht="30" customHeight="1" x14ac:dyDescent="0.25">
      <c r="A23" s="89"/>
      <c r="B23" s="39" t="s">
        <v>19</v>
      </c>
      <c r="C23" s="40" t="s">
        <v>211</v>
      </c>
      <c r="D23" s="34" t="s">
        <v>260</v>
      </c>
      <c r="E23" s="35"/>
      <c r="F23" s="36"/>
      <c r="G23" s="36"/>
      <c r="H23" s="677" t="s">
        <v>734</v>
      </c>
      <c r="I23" s="677"/>
      <c r="J23" s="677"/>
      <c r="K23" s="677"/>
      <c r="L23" s="677"/>
      <c r="M23" s="680"/>
      <c r="N23" s="37" t="s">
        <v>110</v>
      </c>
      <c r="O23" s="38">
        <v>5</v>
      </c>
      <c r="P23" s="31"/>
      <c r="Q23" s="32">
        <f t="shared" si="0"/>
        <v>5</v>
      </c>
    </row>
    <row r="24" spans="1:17" s="20" customFormat="1" ht="30" customHeight="1" x14ac:dyDescent="0.25">
      <c r="A24" s="89"/>
      <c r="B24" s="39" t="s">
        <v>106</v>
      </c>
      <c r="C24" s="40" t="s">
        <v>211</v>
      </c>
      <c r="D24" s="34" t="s">
        <v>46</v>
      </c>
      <c r="E24" s="35"/>
      <c r="F24" s="36"/>
      <c r="G24" s="36"/>
      <c r="H24" s="677" t="s">
        <v>126</v>
      </c>
      <c r="I24" s="677"/>
      <c r="J24" s="677"/>
      <c r="K24" s="677"/>
      <c r="L24" s="677"/>
      <c r="M24" s="680"/>
      <c r="N24" s="37" t="s">
        <v>127</v>
      </c>
      <c r="O24" s="38">
        <f>8*3*5</f>
        <v>120</v>
      </c>
      <c r="P24" s="31"/>
      <c r="Q24" s="32">
        <f t="shared" si="0"/>
        <v>120</v>
      </c>
    </row>
    <row r="25" spans="1:17" s="20" customFormat="1" ht="30" customHeight="1" x14ac:dyDescent="0.25">
      <c r="A25" s="89"/>
      <c r="B25" s="39" t="s">
        <v>115</v>
      </c>
      <c r="C25" s="40" t="s">
        <v>31</v>
      </c>
      <c r="D25" s="34">
        <v>97065</v>
      </c>
      <c r="E25" s="35"/>
      <c r="F25" s="36"/>
      <c r="G25" s="36"/>
      <c r="H25" s="677" t="s">
        <v>109</v>
      </c>
      <c r="I25" s="677"/>
      <c r="J25" s="677"/>
      <c r="K25" s="677"/>
      <c r="L25" s="677"/>
      <c r="M25" s="680"/>
      <c r="N25" s="37" t="s">
        <v>33</v>
      </c>
      <c r="O25" s="38">
        <f>+O24*3*5</f>
        <v>1800</v>
      </c>
      <c r="P25" s="31"/>
      <c r="Q25" s="32">
        <f t="shared" si="0"/>
        <v>1800</v>
      </c>
    </row>
    <row r="26" spans="1:17" s="20" customFormat="1" ht="30" customHeight="1" x14ac:dyDescent="0.25">
      <c r="A26" s="89"/>
      <c r="B26" s="39" t="s">
        <v>116</v>
      </c>
      <c r="C26" s="40" t="s">
        <v>211</v>
      </c>
      <c r="D26" s="34" t="s">
        <v>111</v>
      </c>
      <c r="E26" s="35"/>
      <c r="F26" s="36"/>
      <c r="G26" s="36"/>
      <c r="H26" s="677" t="s">
        <v>738</v>
      </c>
      <c r="I26" s="677"/>
      <c r="J26" s="677"/>
      <c r="K26" s="677"/>
      <c r="L26" s="677"/>
      <c r="M26" s="680"/>
      <c r="N26" s="37" t="s">
        <v>29</v>
      </c>
      <c r="O26" s="38">
        <v>1.5</v>
      </c>
      <c r="P26" s="31"/>
      <c r="Q26" s="32">
        <f t="shared" si="0"/>
        <v>1.5</v>
      </c>
    </row>
    <row r="27" spans="1:17" s="20" customFormat="1" ht="30" customHeight="1" x14ac:dyDescent="0.25">
      <c r="A27" s="88"/>
      <c r="B27" s="33">
        <v>0</v>
      </c>
      <c r="C27" s="41"/>
      <c r="D27" s="45"/>
      <c r="E27" s="27"/>
      <c r="F27" s="28"/>
      <c r="G27" s="43"/>
      <c r="H27" s="28"/>
      <c r="I27" s="28"/>
      <c r="J27" s="28"/>
      <c r="K27" s="28"/>
      <c r="L27" s="43"/>
      <c r="M27" s="29"/>
      <c r="N27" s="30"/>
      <c r="O27" s="31"/>
      <c r="P27" s="31"/>
      <c r="Q27" s="32">
        <f t="shared" si="0"/>
        <v>0</v>
      </c>
    </row>
    <row r="28" spans="1:17" s="20" customFormat="1" ht="30" customHeight="1" x14ac:dyDescent="0.25">
      <c r="A28" s="88"/>
      <c r="B28" s="24">
        <v>3</v>
      </c>
      <c r="C28" s="25"/>
      <c r="D28" s="44"/>
      <c r="E28" s="27"/>
      <c r="F28" s="28" t="s">
        <v>107</v>
      </c>
      <c r="G28" s="28"/>
      <c r="H28" s="28"/>
      <c r="I28" s="28"/>
      <c r="J28" s="28"/>
      <c r="K28" s="28"/>
      <c r="L28" s="28"/>
      <c r="M28" s="29"/>
      <c r="N28" s="30"/>
      <c r="O28" s="31"/>
      <c r="P28" s="31"/>
      <c r="Q28" s="32">
        <f t="shared" si="0"/>
        <v>0</v>
      </c>
    </row>
    <row r="29" spans="1:17" s="20" customFormat="1" ht="30" customHeight="1" x14ac:dyDescent="0.25">
      <c r="A29" s="89"/>
      <c r="B29" s="39" t="s">
        <v>37</v>
      </c>
      <c r="C29" s="46" t="s">
        <v>214</v>
      </c>
      <c r="D29" s="34" t="s">
        <v>732</v>
      </c>
      <c r="E29" s="35"/>
      <c r="F29" s="36"/>
      <c r="G29" s="36"/>
      <c r="H29" s="678" t="s">
        <v>731</v>
      </c>
      <c r="I29" s="678"/>
      <c r="J29" s="678"/>
      <c r="K29" s="678"/>
      <c r="L29" s="678"/>
      <c r="M29" s="679"/>
      <c r="N29" s="37" t="s">
        <v>29</v>
      </c>
      <c r="O29" s="31">
        <f>+O33</f>
        <v>2480.1999999999998</v>
      </c>
      <c r="P29" s="31"/>
      <c r="Q29" s="32">
        <f t="shared" si="0"/>
        <v>2480.1999999999998</v>
      </c>
    </row>
    <row r="30" spans="1:17" s="20" customFormat="1" ht="30" customHeight="1" x14ac:dyDescent="0.25">
      <c r="A30" s="89"/>
      <c r="B30" s="39" t="s">
        <v>246</v>
      </c>
      <c r="C30" s="46" t="s">
        <v>214</v>
      </c>
      <c r="D30" s="34">
        <v>210500</v>
      </c>
      <c r="E30" s="35"/>
      <c r="F30" s="36"/>
      <c r="G30" s="36"/>
      <c r="H30" s="678" t="s">
        <v>408</v>
      </c>
      <c r="I30" s="678"/>
      <c r="J30" s="678"/>
      <c r="K30" s="678"/>
      <c r="L30" s="678"/>
      <c r="M30" s="679"/>
      <c r="N30" s="37" t="s">
        <v>36</v>
      </c>
      <c r="O30" s="31">
        <f>5*5</f>
        <v>25</v>
      </c>
      <c r="P30" s="31"/>
      <c r="Q30" s="32">
        <f t="shared" si="0"/>
        <v>25</v>
      </c>
    </row>
    <row r="31" spans="1:17" s="20" customFormat="1" ht="30" customHeight="1" x14ac:dyDescent="0.25">
      <c r="A31" s="88"/>
      <c r="B31" s="33">
        <v>0</v>
      </c>
      <c r="C31" s="41"/>
      <c r="D31" s="45"/>
      <c r="E31" s="27"/>
      <c r="F31" s="28"/>
      <c r="G31" s="43"/>
      <c r="H31" s="28"/>
      <c r="I31" s="28"/>
      <c r="J31" s="28"/>
      <c r="K31" s="28"/>
      <c r="L31" s="43"/>
      <c r="M31" s="29"/>
      <c r="N31" s="30"/>
      <c r="O31" s="326"/>
      <c r="P31" s="31"/>
      <c r="Q31" s="32">
        <f t="shared" si="0"/>
        <v>0</v>
      </c>
    </row>
    <row r="32" spans="1:17" s="20" customFormat="1" ht="30" customHeight="1" x14ac:dyDescent="0.25">
      <c r="A32" s="88"/>
      <c r="B32" s="24">
        <v>4</v>
      </c>
      <c r="C32" s="25"/>
      <c r="D32" s="44"/>
      <c r="E32" s="27"/>
      <c r="F32" s="28" t="s">
        <v>226</v>
      </c>
      <c r="G32" s="28"/>
      <c r="H32" s="28"/>
      <c r="I32" s="28"/>
      <c r="J32" s="28"/>
      <c r="K32" s="28"/>
      <c r="L32" s="28"/>
      <c r="M32" s="29"/>
      <c r="N32" s="30"/>
      <c r="O32" s="31"/>
      <c r="P32" s="31"/>
      <c r="Q32" s="32">
        <f t="shared" si="0"/>
        <v>0</v>
      </c>
    </row>
    <row r="33" spans="1:17" s="20" customFormat="1" ht="30" customHeight="1" x14ac:dyDescent="0.25">
      <c r="A33" s="89"/>
      <c r="B33" s="39" t="s">
        <v>273</v>
      </c>
      <c r="C33" s="46" t="s">
        <v>31</v>
      </c>
      <c r="D33" s="34" t="s">
        <v>730</v>
      </c>
      <c r="E33" s="35"/>
      <c r="F33" s="36"/>
      <c r="G33" s="36"/>
      <c r="H33" s="678" t="s">
        <v>581</v>
      </c>
      <c r="I33" s="678"/>
      <c r="J33" s="678"/>
      <c r="K33" s="678"/>
      <c r="L33" s="678"/>
      <c r="M33" s="679"/>
      <c r="N33" s="37" t="s">
        <v>29</v>
      </c>
      <c r="O33" s="31">
        <f>4960.4*0.5</f>
        <v>2480.1999999999998</v>
      </c>
      <c r="P33" s="31"/>
      <c r="Q33" s="32">
        <f t="shared" si="0"/>
        <v>2480.1999999999998</v>
      </c>
    </row>
    <row r="34" spans="1:17" s="20" customFormat="1" ht="30" customHeight="1" x14ac:dyDescent="0.25">
      <c r="A34" s="88"/>
      <c r="B34" s="33"/>
      <c r="C34" s="41"/>
      <c r="D34" s="42"/>
      <c r="E34" s="27"/>
      <c r="F34" s="28"/>
      <c r="G34" s="43"/>
      <c r="H34" s="28"/>
      <c r="I34" s="28"/>
      <c r="J34" s="28"/>
      <c r="K34" s="28"/>
      <c r="L34" s="43"/>
      <c r="M34" s="29"/>
      <c r="N34" s="30"/>
      <c r="O34" s="31"/>
      <c r="P34" s="31"/>
      <c r="Q34" s="32">
        <f t="shared" si="0"/>
        <v>0</v>
      </c>
    </row>
    <row r="35" spans="1:17" s="20" customFormat="1" ht="30" customHeight="1" x14ac:dyDescent="0.25">
      <c r="A35" s="88"/>
      <c r="B35" s="24">
        <v>5</v>
      </c>
      <c r="C35" s="25"/>
      <c r="D35" s="44"/>
      <c r="E35" s="27"/>
      <c r="F35" s="28" t="s">
        <v>209</v>
      </c>
      <c r="G35" s="28"/>
      <c r="H35" s="28"/>
      <c r="I35" s="28"/>
      <c r="J35" s="28"/>
      <c r="K35" s="28"/>
      <c r="L35" s="28"/>
      <c r="M35" s="29"/>
      <c r="N35" s="30"/>
      <c r="O35" s="31"/>
      <c r="P35" s="31"/>
      <c r="Q35" s="32">
        <f t="shared" si="0"/>
        <v>0</v>
      </c>
    </row>
    <row r="36" spans="1:17" s="20" customFormat="1" ht="30" customHeight="1" x14ac:dyDescent="0.25">
      <c r="A36" s="89"/>
      <c r="B36" s="33" t="s">
        <v>582</v>
      </c>
      <c r="C36" s="46"/>
      <c r="D36" s="34"/>
      <c r="E36" s="35"/>
      <c r="F36" s="36"/>
      <c r="G36" s="28" t="s">
        <v>247</v>
      </c>
      <c r="H36" s="81"/>
      <c r="I36" s="82"/>
      <c r="J36" s="82"/>
      <c r="K36" s="82"/>
      <c r="L36" s="82"/>
      <c r="M36" s="83"/>
      <c r="N36" s="37"/>
      <c r="O36" s="31"/>
      <c r="P36" s="31"/>
      <c r="Q36" s="32">
        <f t="shared" si="0"/>
        <v>0</v>
      </c>
    </row>
    <row r="37" spans="1:17" s="325" customFormat="1" ht="30" customHeight="1" x14ac:dyDescent="0.25">
      <c r="A37" s="324"/>
      <c r="B37" s="39" t="s">
        <v>583</v>
      </c>
      <c r="C37" s="46" t="s">
        <v>31</v>
      </c>
      <c r="D37" s="34">
        <v>93012</v>
      </c>
      <c r="E37" s="35"/>
      <c r="F37" s="36"/>
      <c r="G37" s="36"/>
      <c r="H37" s="677" t="s">
        <v>520</v>
      </c>
      <c r="I37" s="677"/>
      <c r="J37" s="677"/>
      <c r="K37" s="677"/>
      <c r="L37" s="677"/>
      <c r="M37" s="680"/>
      <c r="N37" s="37" t="s">
        <v>35</v>
      </c>
      <c r="O37" s="31">
        <v>6</v>
      </c>
      <c r="P37" s="31"/>
      <c r="Q37" s="32">
        <f t="shared" si="0"/>
        <v>6</v>
      </c>
    </row>
    <row r="38" spans="1:17" s="325" customFormat="1" ht="30" customHeight="1" x14ac:dyDescent="0.25">
      <c r="A38" s="324"/>
      <c r="B38" s="39" t="s">
        <v>584</v>
      </c>
      <c r="C38" s="46" t="s">
        <v>31</v>
      </c>
      <c r="D38" s="34">
        <v>95745</v>
      </c>
      <c r="E38" s="35"/>
      <c r="F38" s="36"/>
      <c r="G38" s="36"/>
      <c r="H38" s="677" t="s">
        <v>512</v>
      </c>
      <c r="I38" s="677"/>
      <c r="J38" s="677"/>
      <c r="K38" s="677"/>
      <c r="L38" s="677"/>
      <c r="M38" s="680"/>
      <c r="N38" s="37" t="s">
        <v>35</v>
      </c>
      <c r="O38" s="31">
        <v>5743.6</v>
      </c>
      <c r="P38" s="31"/>
      <c r="Q38" s="32">
        <f t="shared" si="0"/>
        <v>5743.6</v>
      </c>
    </row>
    <row r="39" spans="1:17" s="325" customFormat="1" ht="30" customHeight="1" x14ac:dyDescent="0.25">
      <c r="A39" s="324"/>
      <c r="B39" s="39" t="s">
        <v>585</v>
      </c>
      <c r="C39" s="46" t="s">
        <v>31</v>
      </c>
      <c r="D39" s="34">
        <v>95746</v>
      </c>
      <c r="E39" s="35"/>
      <c r="F39" s="36"/>
      <c r="G39" s="36"/>
      <c r="H39" s="677" t="s">
        <v>511</v>
      </c>
      <c r="I39" s="677"/>
      <c r="J39" s="677"/>
      <c r="K39" s="677"/>
      <c r="L39" s="677"/>
      <c r="M39" s="680"/>
      <c r="N39" s="37" t="s">
        <v>35</v>
      </c>
      <c r="O39" s="31">
        <v>63</v>
      </c>
      <c r="P39" s="31"/>
      <c r="Q39" s="32">
        <f t="shared" si="0"/>
        <v>63</v>
      </c>
    </row>
    <row r="40" spans="1:17" s="325" customFormat="1" ht="30" customHeight="1" x14ac:dyDescent="0.25">
      <c r="A40" s="324"/>
      <c r="B40" s="39" t="s">
        <v>586</v>
      </c>
      <c r="C40" s="46" t="s">
        <v>31</v>
      </c>
      <c r="D40" s="34">
        <v>95748</v>
      </c>
      <c r="E40" s="35"/>
      <c r="F40" s="36"/>
      <c r="G40" s="36"/>
      <c r="H40" s="677" t="s">
        <v>513</v>
      </c>
      <c r="I40" s="677"/>
      <c r="J40" s="677"/>
      <c r="K40" s="677"/>
      <c r="L40" s="677"/>
      <c r="M40" s="680"/>
      <c r="N40" s="37" t="s">
        <v>35</v>
      </c>
      <c r="O40" s="31">
        <v>6.1</v>
      </c>
      <c r="P40" s="31"/>
      <c r="Q40" s="32">
        <f t="shared" si="0"/>
        <v>6.1</v>
      </c>
    </row>
    <row r="41" spans="1:17" s="325" customFormat="1" ht="30" customHeight="1" x14ac:dyDescent="0.25">
      <c r="A41" s="324"/>
      <c r="B41" s="39" t="s">
        <v>587</v>
      </c>
      <c r="C41" s="46" t="s">
        <v>214</v>
      </c>
      <c r="D41" s="34" t="s">
        <v>515</v>
      </c>
      <c r="E41" s="35"/>
      <c r="F41" s="36"/>
      <c r="G41" s="36"/>
      <c r="H41" s="677" t="s">
        <v>514</v>
      </c>
      <c r="I41" s="677"/>
      <c r="J41" s="677"/>
      <c r="K41" s="677"/>
      <c r="L41" s="677"/>
      <c r="M41" s="680"/>
      <c r="N41" s="37" t="s">
        <v>35</v>
      </c>
      <c r="O41" s="31">
        <f>14.9+0.3</f>
        <v>15.200000000000001</v>
      </c>
      <c r="P41" s="31"/>
      <c r="Q41" s="32">
        <f t="shared" si="0"/>
        <v>15.200000000000001</v>
      </c>
    </row>
    <row r="42" spans="1:17" s="325" customFormat="1" ht="30" customHeight="1" x14ac:dyDescent="0.25">
      <c r="A42" s="324"/>
      <c r="B42" s="39" t="s">
        <v>588</v>
      </c>
      <c r="C42" s="46" t="s">
        <v>211</v>
      </c>
      <c r="D42" s="34" t="s">
        <v>517</v>
      </c>
      <c r="E42" s="35"/>
      <c r="F42" s="36"/>
      <c r="G42" s="36"/>
      <c r="H42" s="677" t="s">
        <v>516</v>
      </c>
      <c r="I42" s="677"/>
      <c r="J42" s="677"/>
      <c r="K42" s="677"/>
      <c r="L42" s="677"/>
      <c r="M42" s="680"/>
      <c r="N42" s="37" t="s">
        <v>35</v>
      </c>
      <c r="O42" s="31">
        <v>63.1</v>
      </c>
      <c r="P42" s="31"/>
      <c r="Q42" s="32">
        <f t="shared" si="0"/>
        <v>63.1</v>
      </c>
    </row>
    <row r="43" spans="1:17" s="325" customFormat="1" ht="30" customHeight="1" x14ac:dyDescent="0.25">
      <c r="A43" s="324"/>
      <c r="B43" s="39" t="s">
        <v>589</v>
      </c>
      <c r="C43" s="46" t="s">
        <v>214</v>
      </c>
      <c r="D43" s="34" t="s">
        <v>498</v>
      </c>
      <c r="E43" s="35"/>
      <c r="F43" s="36"/>
      <c r="G43" s="36"/>
      <c r="H43" s="677" t="s">
        <v>497</v>
      </c>
      <c r="I43" s="677"/>
      <c r="J43" s="677"/>
      <c r="K43" s="677"/>
      <c r="L43" s="677"/>
      <c r="M43" s="680"/>
      <c r="N43" s="37" t="s">
        <v>35</v>
      </c>
      <c r="O43" s="31">
        <v>63</v>
      </c>
      <c r="P43" s="31"/>
      <c r="Q43" s="32">
        <f t="shared" si="0"/>
        <v>63</v>
      </c>
    </row>
    <row r="44" spans="1:17" s="325" customFormat="1" ht="30" customHeight="1" x14ac:dyDescent="0.25">
      <c r="A44" s="324"/>
      <c r="B44" s="39" t="s">
        <v>590</v>
      </c>
      <c r="C44" s="46" t="s">
        <v>214</v>
      </c>
      <c r="D44" s="34" t="s">
        <v>500</v>
      </c>
      <c r="E44" s="35"/>
      <c r="F44" s="36"/>
      <c r="G44" s="36"/>
      <c r="H44" s="677" t="s">
        <v>499</v>
      </c>
      <c r="I44" s="677"/>
      <c r="J44" s="677"/>
      <c r="K44" s="677"/>
      <c r="L44" s="677"/>
      <c r="M44" s="680"/>
      <c r="N44" s="37" t="s">
        <v>35</v>
      </c>
      <c r="O44" s="31">
        <v>8.1999999999999993</v>
      </c>
      <c r="P44" s="31"/>
      <c r="Q44" s="32">
        <f t="shared" si="0"/>
        <v>8.1999999999999993</v>
      </c>
    </row>
    <row r="45" spans="1:17" s="20" customFormat="1" ht="30" customHeight="1" x14ac:dyDescent="0.25">
      <c r="A45" s="89"/>
      <c r="B45" s="39" t="s">
        <v>591</v>
      </c>
      <c r="C45" s="46" t="s">
        <v>214</v>
      </c>
      <c r="D45" s="34" t="s">
        <v>276</v>
      </c>
      <c r="E45" s="35"/>
      <c r="F45" s="36"/>
      <c r="G45" s="36"/>
      <c r="H45" s="677" t="s">
        <v>275</v>
      </c>
      <c r="I45" s="677"/>
      <c r="J45" s="677"/>
      <c r="K45" s="677"/>
      <c r="L45" s="677"/>
      <c r="M45" s="680"/>
      <c r="N45" s="37" t="s">
        <v>35</v>
      </c>
      <c r="O45" s="31">
        <v>761.8</v>
      </c>
      <c r="P45" s="31"/>
      <c r="Q45" s="32">
        <f t="shared" si="0"/>
        <v>761.8</v>
      </c>
    </row>
    <row r="46" spans="1:17" s="20" customFormat="1" ht="30" customHeight="1" x14ac:dyDescent="0.25">
      <c r="A46" s="89"/>
      <c r="B46" s="39" t="s">
        <v>592</v>
      </c>
      <c r="C46" s="46" t="s">
        <v>211</v>
      </c>
      <c r="D46" s="34" t="s">
        <v>524</v>
      </c>
      <c r="E46" s="35"/>
      <c r="F46" s="36"/>
      <c r="G46" s="36"/>
      <c r="H46" s="677" t="s">
        <v>523</v>
      </c>
      <c r="I46" s="677"/>
      <c r="J46" s="677"/>
      <c r="K46" s="677"/>
      <c r="L46" s="677"/>
      <c r="M46" s="680"/>
      <c r="N46" s="37" t="s">
        <v>35</v>
      </c>
      <c r="O46" s="31">
        <v>229.4</v>
      </c>
      <c r="P46" s="31"/>
      <c r="Q46" s="32">
        <f t="shared" si="0"/>
        <v>229.4</v>
      </c>
    </row>
    <row r="47" spans="1:17" s="20" customFormat="1" ht="30" customHeight="1" x14ac:dyDescent="0.25">
      <c r="A47" s="89"/>
      <c r="B47" s="33" t="s">
        <v>593</v>
      </c>
      <c r="C47" s="46"/>
      <c r="D47" s="34"/>
      <c r="E47" s="35"/>
      <c r="F47" s="36"/>
      <c r="G47" s="28" t="s">
        <v>249</v>
      </c>
      <c r="H47" s="81"/>
      <c r="I47" s="82"/>
      <c r="J47" s="82"/>
      <c r="K47" s="82"/>
      <c r="L47" s="82"/>
      <c r="M47" s="83"/>
      <c r="N47" s="37"/>
      <c r="O47" s="31"/>
      <c r="P47" s="31"/>
      <c r="Q47" s="32">
        <f t="shared" si="0"/>
        <v>0</v>
      </c>
    </row>
    <row r="48" spans="1:17" s="20" customFormat="1" ht="30" customHeight="1" x14ac:dyDescent="0.25">
      <c r="A48" s="89"/>
      <c r="B48" s="39" t="s">
        <v>594</v>
      </c>
      <c r="C48" s="46" t="s">
        <v>31</v>
      </c>
      <c r="D48" s="34">
        <v>91926</v>
      </c>
      <c r="E48" s="35"/>
      <c r="F48" s="36"/>
      <c r="G48" s="36"/>
      <c r="H48" s="677" t="s">
        <v>415</v>
      </c>
      <c r="I48" s="678"/>
      <c r="J48" s="678"/>
      <c r="K48" s="678"/>
      <c r="L48" s="678"/>
      <c r="M48" s="679"/>
      <c r="N48" s="37" t="s">
        <v>35</v>
      </c>
      <c r="O48" s="31">
        <v>37092.1</v>
      </c>
      <c r="P48" s="31"/>
      <c r="Q48" s="32">
        <f t="shared" si="0"/>
        <v>37092.1</v>
      </c>
    </row>
    <row r="49" spans="1:17" s="20" customFormat="1" ht="30" customHeight="1" x14ac:dyDescent="0.25">
      <c r="A49" s="89"/>
      <c r="B49" s="39" t="s">
        <v>595</v>
      </c>
      <c r="C49" s="46" t="s">
        <v>31</v>
      </c>
      <c r="D49" s="34">
        <v>91928</v>
      </c>
      <c r="E49" s="35"/>
      <c r="F49" s="36"/>
      <c r="G49" s="36"/>
      <c r="H49" s="677" t="s">
        <v>416</v>
      </c>
      <c r="I49" s="678"/>
      <c r="J49" s="678"/>
      <c r="K49" s="678"/>
      <c r="L49" s="678"/>
      <c r="M49" s="679"/>
      <c r="N49" s="37" t="s">
        <v>35</v>
      </c>
      <c r="O49" s="31">
        <v>1816.6</v>
      </c>
      <c r="P49" s="31"/>
      <c r="Q49" s="32">
        <f t="shared" ref="Q49:Q80" si="1">+SUM(O49:P49)</f>
        <v>1816.6</v>
      </c>
    </row>
    <row r="50" spans="1:17" s="20" customFormat="1" ht="30" customHeight="1" x14ac:dyDescent="0.25">
      <c r="A50" s="89"/>
      <c r="B50" s="39" t="s">
        <v>596</v>
      </c>
      <c r="C50" s="46" t="s">
        <v>31</v>
      </c>
      <c r="D50" s="34">
        <v>91929</v>
      </c>
      <c r="E50" s="35"/>
      <c r="F50" s="36"/>
      <c r="G50" s="36"/>
      <c r="H50" s="677" t="s">
        <v>419</v>
      </c>
      <c r="I50" s="678"/>
      <c r="J50" s="678"/>
      <c r="K50" s="678"/>
      <c r="L50" s="678"/>
      <c r="M50" s="679"/>
      <c r="N50" s="37" t="s">
        <v>35</v>
      </c>
      <c r="O50" s="31">
        <v>986.3</v>
      </c>
      <c r="P50" s="31"/>
      <c r="Q50" s="32">
        <f t="shared" si="1"/>
        <v>986.3</v>
      </c>
    </row>
    <row r="51" spans="1:17" s="20" customFormat="1" ht="30" customHeight="1" x14ac:dyDescent="0.25">
      <c r="A51" s="89"/>
      <c r="B51" s="39" t="s">
        <v>597</v>
      </c>
      <c r="C51" s="46" t="s">
        <v>31</v>
      </c>
      <c r="D51" s="34">
        <v>91931</v>
      </c>
      <c r="E51" s="35"/>
      <c r="F51" s="36"/>
      <c r="G51" s="36"/>
      <c r="H51" s="677" t="s">
        <v>417</v>
      </c>
      <c r="I51" s="678"/>
      <c r="J51" s="678"/>
      <c r="K51" s="678"/>
      <c r="L51" s="678"/>
      <c r="M51" s="679"/>
      <c r="N51" s="37" t="s">
        <v>35</v>
      </c>
      <c r="O51" s="31">
        <v>739.4</v>
      </c>
      <c r="P51" s="31"/>
      <c r="Q51" s="32">
        <f t="shared" si="1"/>
        <v>739.4</v>
      </c>
    </row>
    <row r="52" spans="1:17" s="20" customFormat="1" ht="30" customHeight="1" x14ac:dyDescent="0.25">
      <c r="A52" s="89"/>
      <c r="B52" s="39" t="s">
        <v>598</v>
      </c>
      <c r="C52" s="46" t="s">
        <v>31</v>
      </c>
      <c r="D52" s="34">
        <v>91933</v>
      </c>
      <c r="E52" s="35"/>
      <c r="F52" s="36"/>
      <c r="G52" s="36"/>
      <c r="H52" s="677" t="s">
        <v>422</v>
      </c>
      <c r="I52" s="678"/>
      <c r="J52" s="678"/>
      <c r="K52" s="678"/>
      <c r="L52" s="678"/>
      <c r="M52" s="679"/>
      <c r="N52" s="37" t="s">
        <v>35</v>
      </c>
      <c r="O52" s="31">
        <v>1246.8</v>
      </c>
      <c r="P52" s="31"/>
      <c r="Q52" s="32">
        <f t="shared" si="1"/>
        <v>1246.8</v>
      </c>
    </row>
    <row r="53" spans="1:17" s="20" customFormat="1" ht="30" customHeight="1" x14ac:dyDescent="0.25">
      <c r="A53" s="89"/>
      <c r="B53" s="39" t="s">
        <v>599</v>
      </c>
      <c r="C53" s="46" t="s">
        <v>31</v>
      </c>
      <c r="D53" s="34">
        <v>91935</v>
      </c>
      <c r="E53" s="35"/>
      <c r="F53" s="36"/>
      <c r="G53" s="36"/>
      <c r="H53" s="677" t="s">
        <v>420</v>
      </c>
      <c r="I53" s="678"/>
      <c r="J53" s="678"/>
      <c r="K53" s="678"/>
      <c r="L53" s="678"/>
      <c r="M53" s="679"/>
      <c r="N53" s="37" t="s">
        <v>35</v>
      </c>
      <c r="O53" s="31">
        <v>761.6</v>
      </c>
      <c r="P53" s="31"/>
      <c r="Q53" s="32">
        <f t="shared" si="1"/>
        <v>761.6</v>
      </c>
    </row>
    <row r="54" spans="1:17" s="20" customFormat="1" ht="30" customHeight="1" x14ac:dyDescent="0.25">
      <c r="A54" s="89"/>
      <c r="B54" s="39" t="s">
        <v>600</v>
      </c>
      <c r="C54" s="46" t="s">
        <v>31</v>
      </c>
      <c r="D54" s="34">
        <v>92992</v>
      </c>
      <c r="E54" s="35"/>
      <c r="F54" s="36"/>
      <c r="G54" s="36"/>
      <c r="H54" s="677" t="s">
        <v>418</v>
      </c>
      <c r="I54" s="678"/>
      <c r="J54" s="678"/>
      <c r="K54" s="678"/>
      <c r="L54" s="678"/>
      <c r="M54" s="679"/>
      <c r="N54" s="37" t="s">
        <v>35</v>
      </c>
      <c r="O54" s="31">
        <v>42.8</v>
      </c>
      <c r="P54" s="31"/>
      <c r="Q54" s="32">
        <f t="shared" si="1"/>
        <v>42.8</v>
      </c>
    </row>
    <row r="55" spans="1:17" s="20" customFormat="1" ht="30" customHeight="1" x14ac:dyDescent="0.25">
      <c r="A55" s="89"/>
      <c r="B55" s="39" t="s">
        <v>601</v>
      </c>
      <c r="C55" s="46" t="s">
        <v>31</v>
      </c>
      <c r="D55" s="34">
        <v>92996</v>
      </c>
      <c r="E55" s="35"/>
      <c r="F55" s="36"/>
      <c r="G55" s="36"/>
      <c r="H55" s="677" t="s">
        <v>421</v>
      </c>
      <c r="I55" s="678"/>
      <c r="J55" s="678"/>
      <c r="K55" s="678"/>
      <c r="L55" s="678"/>
      <c r="M55" s="679"/>
      <c r="N55" s="37" t="s">
        <v>35</v>
      </c>
      <c r="O55" s="31">
        <v>171</v>
      </c>
      <c r="P55" s="31"/>
      <c r="Q55" s="32">
        <f t="shared" si="1"/>
        <v>171</v>
      </c>
    </row>
    <row r="56" spans="1:17" s="20" customFormat="1" ht="30" customHeight="1" x14ac:dyDescent="0.25">
      <c r="A56" s="89"/>
      <c r="B56" s="39" t="s">
        <v>602</v>
      </c>
      <c r="C56" s="46" t="s">
        <v>31</v>
      </c>
      <c r="D56" s="34">
        <v>96974</v>
      </c>
      <c r="E56" s="35"/>
      <c r="F56" s="36"/>
      <c r="G56" s="36"/>
      <c r="H56" s="677" t="s">
        <v>542</v>
      </c>
      <c r="I56" s="678"/>
      <c r="J56" s="678"/>
      <c r="K56" s="678"/>
      <c r="L56" s="678"/>
      <c r="M56" s="679"/>
      <c r="N56" s="37" t="s">
        <v>35</v>
      </c>
      <c r="O56" s="31">
        <v>15</v>
      </c>
      <c r="P56" s="31"/>
      <c r="Q56" s="32">
        <f t="shared" si="1"/>
        <v>15</v>
      </c>
    </row>
    <row r="57" spans="1:17" s="20" customFormat="1" ht="30" customHeight="1" x14ac:dyDescent="0.25">
      <c r="A57" s="89"/>
      <c r="B57" s="33" t="s">
        <v>603</v>
      </c>
      <c r="C57" s="46"/>
      <c r="D57" s="34"/>
      <c r="E57" s="35"/>
      <c r="F57" s="36"/>
      <c r="G57" s="28" t="s">
        <v>210</v>
      </c>
      <c r="H57" s="81"/>
      <c r="I57" s="82"/>
      <c r="J57" s="82"/>
      <c r="K57" s="82"/>
      <c r="L57" s="82"/>
      <c r="M57" s="83"/>
      <c r="N57" s="37"/>
      <c r="O57" s="31"/>
      <c r="P57" s="31"/>
      <c r="Q57" s="32">
        <f t="shared" si="1"/>
        <v>0</v>
      </c>
    </row>
    <row r="58" spans="1:17" s="20" customFormat="1" ht="30" customHeight="1" x14ac:dyDescent="0.25">
      <c r="A58" s="89"/>
      <c r="B58" s="39" t="s">
        <v>604</v>
      </c>
      <c r="C58" s="46" t="s">
        <v>31</v>
      </c>
      <c r="D58" s="34">
        <v>93667</v>
      </c>
      <c r="E58" s="35"/>
      <c r="F58" s="36"/>
      <c r="G58" s="36"/>
      <c r="H58" s="677" t="s">
        <v>423</v>
      </c>
      <c r="I58" s="678"/>
      <c r="J58" s="678"/>
      <c r="K58" s="678"/>
      <c r="L58" s="678"/>
      <c r="M58" s="679"/>
      <c r="N58" s="37" t="s">
        <v>36</v>
      </c>
      <c r="O58" s="31">
        <v>4</v>
      </c>
      <c r="P58" s="31"/>
      <c r="Q58" s="32">
        <f t="shared" si="1"/>
        <v>4</v>
      </c>
    </row>
    <row r="59" spans="1:17" s="20" customFormat="1" ht="30" customHeight="1" x14ac:dyDescent="0.25">
      <c r="A59" s="89"/>
      <c r="B59" s="39" t="s">
        <v>605</v>
      </c>
      <c r="C59" s="46" t="s">
        <v>31</v>
      </c>
      <c r="D59" s="34">
        <v>93668</v>
      </c>
      <c r="E59" s="35"/>
      <c r="F59" s="36"/>
      <c r="G59" s="36"/>
      <c r="H59" s="677" t="s">
        <v>424</v>
      </c>
      <c r="I59" s="678"/>
      <c r="J59" s="678"/>
      <c r="K59" s="678"/>
      <c r="L59" s="678"/>
      <c r="M59" s="679"/>
      <c r="N59" s="37" t="s">
        <v>36</v>
      </c>
      <c r="O59" s="31">
        <v>2</v>
      </c>
      <c r="P59" s="31"/>
      <c r="Q59" s="32">
        <f t="shared" si="1"/>
        <v>2</v>
      </c>
    </row>
    <row r="60" spans="1:17" s="20" customFormat="1" ht="30" customHeight="1" x14ac:dyDescent="0.25">
      <c r="A60" s="89"/>
      <c r="B60" s="39" t="s">
        <v>606</v>
      </c>
      <c r="C60" s="46" t="s">
        <v>31</v>
      </c>
      <c r="D60" s="34">
        <v>93669</v>
      </c>
      <c r="E60" s="35"/>
      <c r="F60" s="36"/>
      <c r="G60" s="36"/>
      <c r="H60" s="677" t="s">
        <v>425</v>
      </c>
      <c r="I60" s="678"/>
      <c r="J60" s="678"/>
      <c r="K60" s="678"/>
      <c r="L60" s="678"/>
      <c r="M60" s="679"/>
      <c r="N60" s="37" t="s">
        <v>36</v>
      </c>
      <c r="O60" s="31">
        <v>2</v>
      </c>
      <c r="P60" s="31"/>
      <c r="Q60" s="32">
        <f t="shared" si="1"/>
        <v>2</v>
      </c>
    </row>
    <row r="61" spans="1:17" s="20" customFormat="1" ht="30" customHeight="1" x14ac:dyDescent="0.25">
      <c r="A61" s="89"/>
      <c r="B61" s="39" t="s">
        <v>607</v>
      </c>
      <c r="C61" s="46" t="s">
        <v>31</v>
      </c>
      <c r="D61" s="34">
        <v>93670</v>
      </c>
      <c r="E61" s="35"/>
      <c r="F61" s="36"/>
      <c r="G61" s="36"/>
      <c r="H61" s="677" t="s">
        <v>426</v>
      </c>
      <c r="I61" s="678"/>
      <c r="J61" s="678"/>
      <c r="K61" s="678"/>
      <c r="L61" s="678"/>
      <c r="M61" s="679"/>
      <c r="N61" s="37" t="s">
        <v>36</v>
      </c>
      <c r="O61" s="31">
        <v>4</v>
      </c>
      <c r="P61" s="31"/>
      <c r="Q61" s="32">
        <f t="shared" si="1"/>
        <v>4</v>
      </c>
    </row>
    <row r="62" spans="1:17" s="20" customFormat="1" ht="30" customHeight="1" x14ac:dyDescent="0.25">
      <c r="A62" s="89"/>
      <c r="B62" s="39" t="s">
        <v>608</v>
      </c>
      <c r="C62" s="46" t="s">
        <v>31</v>
      </c>
      <c r="D62" s="34">
        <v>93671</v>
      </c>
      <c r="E62" s="35"/>
      <c r="F62" s="36"/>
      <c r="G62" s="36"/>
      <c r="H62" s="677" t="s">
        <v>427</v>
      </c>
      <c r="I62" s="678"/>
      <c r="J62" s="678"/>
      <c r="K62" s="678"/>
      <c r="L62" s="678"/>
      <c r="M62" s="679"/>
      <c r="N62" s="37" t="s">
        <v>36</v>
      </c>
      <c r="O62" s="31">
        <v>14</v>
      </c>
      <c r="P62" s="31"/>
      <c r="Q62" s="32">
        <f t="shared" si="1"/>
        <v>14</v>
      </c>
    </row>
    <row r="63" spans="1:17" s="20" customFormat="1" ht="30" customHeight="1" x14ac:dyDescent="0.25">
      <c r="A63" s="89"/>
      <c r="B63" s="39" t="s">
        <v>609</v>
      </c>
      <c r="C63" s="46" t="s">
        <v>31</v>
      </c>
      <c r="D63" s="34">
        <v>93672</v>
      </c>
      <c r="E63" s="35"/>
      <c r="F63" s="36"/>
      <c r="G63" s="36"/>
      <c r="H63" s="677" t="s">
        <v>428</v>
      </c>
      <c r="I63" s="678"/>
      <c r="J63" s="678"/>
      <c r="K63" s="678"/>
      <c r="L63" s="678"/>
      <c r="M63" s="679"/>
      <c r="N63" s="37" t="s">
        <v>36</v>
      </c>
      <c r="O63" s="31">
        <v>6</v>
      </c>
      <c r="P63" s="31"/>
      <c r="Q63" s="32">
        <f t="shared" si="1"/>
        <v>6</v>
      </c>
    </row>
    <row r="64" spans="1:17" s="20" customFormat="1" ht="30" customHeight="1" x14ac:dyDescent="0.25">
      <c r="A64" s="89"/>
      <c r="B64" s="39" t="s">
        <v>610</v>
      </c>
      <c r="C64" s="46" t="s">
        <v>31</v>
      </c>
      <c r="D64" s="34">
        <v>93673</v>
      </c>
      <c r="E64" s="35"/>
      <c r="F64" s="36"/>
      <c r="G64" s="36"/>
      <c r="H64" s="677" t="s">
        <v>429</v>
      </c>
      <c r="I64" s="678"/>
      <c r="J64" s="678"/>
      <c r="K64" s="678"/>
      <c r="L64" s="678"/>
      <c r="M64" s="679"/>
      <c r="N64" s="37" t="s">
        <v>36</v>
      </c>
      <c r="O64" s="31">
        <v>4</v>
      </c>
      <c r="P64" s="31"/>
      <c r="Q64" s="32">
        <f t="shared" si="1"/>
        <v>4</v>
      </c>
    </row>
    <row r="65" spans="1:17" s="20" customFormat="1" ht="30" customHeight="1" x14ac:dyDescent="0.25">
      <c r="A65" s="89"/>
      <c r="B65" s="39" t="s">
        <v>611</v>
      </c>
      <c r="C65" s="46" t="s">
        <v>211</v>
      </c>
      <c r="D65" s="34" t="s">
        <v>291</v>
      </c>
      <c r="E65" s="35"/>
      <c r="F65" s="36"/>
      <c r="G65" s="36"/>
      <c r="H65" s="677" t="s">
        <v>430</v>
      </c>
      <c r="I65" s="678"/>
      <c r="J65" s="678"/>
      <c r="K65" s="678"/>
      <c r="L65" s="678"/>
      <c r="M65" s="679"/>
      <c r="N65" s="37" t="s">
        <v>36</v>
      </c>
      <c r="O65" s="31">
        <v>6</v>
      </c>
      <c r="P65" s="31"/>
      <c r="Q65" s="32">
        <f t="shared" si="1"/>
        <v>6</v>
      </c>
    </row>
    <row r="66" spans="1:17" s="20" customFormat="1" ht="30" customHeight="1" x14ac:dyDescent="0.25">
      <c r="A66" s="89"/>
      <c r="B66" s="39" t="s">
        <v>612</v>
      </c>
      <c r="C66" s="46" t="s">
        <v>214</v>
      </c>
      <c r="D66" s="34" t="s">
        <v>433</v>
      </c>
      <c r="E66" s="35"/>
      <c r="F66" s="36"/>
      <c r="G66" s="36"/>
      <c r="H66" s="677" t="s">
        <v>431</v>
      </c>
      <c r="I66" s="678"/>
      <c r="J66" s="678"/>
      <c r="K66" s="678"/>
      <c r="L66" s="678"/>
      <c r="M66" s="679"/>
      <c r="N66" s="37" t="s">
        <v>36</v>
      </c>
      <c r="O66" s="31">
        <v>2</v>
      </c>
      <c r="P66" s="31"/>
      <c r="Q66" s="32">
        <f t="shared" si="1"/>
        <v>2</v>
      </c>
    </row>
    <row r="67" spans="1:17" s="20" customFormat="1" ht="30" customHeight="1" x14ac:dyDescent="0.25">
      <c r="A67" s="89"/>
      <c r="B67" s="39" t="s">
        <v>613</v>
      </c>
      <c r="C67" s="46" t="s">
        <v>214</v>
      </c>
      <c r="D67" s="34" t="s">
        <v>434</v>
      </c>
      <c r="E67" s="35"/>
      <c r="F67" s="36"/>
      <c r="G67" s="36"/>
      <c r="H67" s="677" t="s">
        <v>432</v>
      </c>
      <c r="I67" s="678"/>
      <c r="J67" s="678"/>
      <c r="K67" s="678"/>
      <c r="L67" s="678"/>
      <c r="M67" s="679"/>
      <c r="N67" s="37" t="s">
        <v>36</v>
      </c>
      <c r="O67" s="31">
        <v>2</v>
      </c>
      <c r="P67" s="31"/>
      <c r="Q67" s="32">
        <f t="shared" si="1"/>
        <v>2</v>
      </c>
    </row>
    <row r="68" spans="1:17" s="20" customFormat="1" ht="30" customHeight="1" x14ac:dyDescent="0.25">
      <c r="A68" s="89"/>
      <c r="B68" s="39" t="s">
        <v>614</v>
      </c>
      <c r="C68" s="46" t="s">
        <v>211</v>
      </c>
      <c r="D68" s="34" t="s">
        <v>443</v>
      </c>
      <c r="E68" s="35"/>
      <c r="F68" s="36"/>
      <c r="G68" s="36"/>
      <c r="H68" s="677" t="s">
        <v>444</v>
      </c>
      <c r="I68" s="678"/>
      <c r="J68" s="678"/>
      <c r="K68" s="678"/>
      <c r="L68" s="678"/>
      <c r="M68" s="679"/>
      <c r="N68" s="37" t="s">
        <v>36</v>
      </c>
      <c r="O68" s="31"/>
      <c r="P68" s="31"/>
      <c r="Q68" s="32">
        <f t="shared" si="1"/>
        <v>0</v>
      </c>
    </row>
    <row r="69" spans="1:17" s="20" customFormat="1" ht="30" customHeight="1" x14ac:dyDescent="0.25">
      <c r="A69" s="89"/>
      <c r="B69" s="39" t="s">
        <v>615</v>
      </c>
      <c r="C69" s="46" t="s">
        <v>214</v>
      </c>
      <c r="D69" s="34" t="s">
        <v>436</v>
      </c>
      <c r="E69" s="35"/>
      <c r="F69" s="36"/>
      <c r="G69" s="36"/>
      <c r="H69" s="677" t="s">
        <v>435</v>
      </c>
      <c r="I69" s="678"/>
      <c r="J69" s="678"/>
      <c r="K69" s="678"/>
      <c r="L69" s="678"/>
      <c r="M69" s="679"/>
      <c r="N69" s="37" t="s">
        <v>36</v>
      </c>
      <c r="O69" s="31">
        <v>2</v>
      </c>
      <c r="P69" s="31"/>
      <c r="Q69" s="32">
        <f t="shared" si="1"/>
        <v>2</v>
      </c>
    </row>
    <row r="70" spans="1:17" s="20" customFormat="1" ht="30" customHeight="1" x14ac:dyDescent="0.25">
      <c r="A70" s="89"/>
      <c r="B70" s="39" t="s">
        <v>616</v>
      </c>
      <c r="C70" s="46" t="s">
        <v>31</v>
      </c>
      <c r="D70" s="34">
        <v>93653</v>
      </c>
      <c r="E70" s="35"/>
      <c r="F70" s="36"/>
      <c r="G70" s="36"/>
      <c r="H70" s="677" t="s">
        <v>438</v>
      </c>
      <c r="I70" s="677"/>
      <c r="J70" s="677"/>
      <c r="K70" s="677"/>
      <c r="L70" s="677"/>
      <c r="M70" s="680"/>
      <c r="N70" s="37" t="s">
        <v>36</v>
      </c>
      <c r="O70" s="31">
        <v>283</v>
      </c>
      <c r="P70" s="31"/>
      <c r="Q70" s="32">
        <f t="shared" si="1"/>
        <v>283</v>
      </c>
    </row>
    <row r="71" spans="1:17" s="20" customFormat="1" ht="30" customHeight="1" x14ac:dyDescent="0.25">
      <c r="A71" s="89"/>
      <c r="B71" s="39" t="s">
        <v>617</v>
      </c>
      <c r="C71" s="46" t="s">
        <v>31</v>
      </c>
      <c r="D71" s="34">
        <v>93654</v>
      </c>
      <c r="E71" s="35"/>
      <c r="F71" s="36"/>
      <c r="G71" s="36"/>
      <c r="H71" s="677" t="s">
        <v>437</v>
      </c>
      <c r="I71" s="677"/>
      <c r="J71" s="677"/>
      <c r="K71" s="677"/>
      <c r="L71" s="677"/>
      <c r="M71" s="680"/>
      <c r="N71" s="37" t="s">
        <v>36</v>
      </c>
      <c r="O71" s="31">
        <v>60</v>
      </c>
      <c r="P71" s="31"/>
      <c r="Q71" s="32">
        <f t="shared" si="1"/>
        <v>60</v>
      </c>
    </row>
    <row r="72" spans="1:17" s="20" customFormat="1" ht="30" customHeight="1" x14ac:dyDescent="0.25">
      <c r="A72" s="89"/>
      <c r="B72" s="39" t="s">
        <v>618</v>
      </c>
      <c r="C72" s="46" t="s">
        <v>31</v>
      </c>
      <c r="D72" s="34">
        <v>93655</v>
      </c>
      <c r="E72" s="35"/>
      <c r="F72" s="36"/>
      <c r="G72" s="36"/>
      <c r="H72" s="677" t="s">
        <v>439</v>
      </c>
      <c r="I72" s="678"/>
      <c r="J72" s="678"/>
      <c r="K72" s="678"/>
      <c r="L72" s="678"/>
      <c r="M72" s="679"/>
      <c r="N72" s="37" t="s">
        <v>36</v>
      </c>
      <c r="O72" s="31">
        <v>67</v>
      </c>
      <c r="P72" s="31"/>
      <c r="Q72" s="32">
        <f t="shared" si="1"/>
        <v>67</v>
      </c>
    </row>
    <row r="73" spans="1:17" s="20" customFormat="1" ht="30" customHeight="1" x14ac:dyDescent="0.25">
      <c r="A73" s="89"/>
      <c r="B73" s="39" t="s">
        <v>619</v>
      </c>
      <c r="C73" s="46" t="s">
        <v>31</v>
      </c>
      <c r="D73" s="34">
        <v>93656</v>
      </c>
      <c r="E73" s="35"/>
      <c r="F73" s="36"/>
      <c r="G73" s="36"/>
      <c r="H73" s="677" t="s">
        <v>440</v>
      </c>
      <c r="I73" s="678"/>
      <c r="J73" s="678"/>
      <c r="K73" s="678"/>
      <c r="L73" s="678"/>
      <c r="M73" s="679"/>
      <c r="N73" s="37" t="s">
        <v>36</v>
      </c>
      <c r="O73" s="31">
        <v>9</v>
      </c>
      <c r="P73" s="31"/>
      <c r="Q73" s="32">
        <f t="shared" si="1"/>
        <v>9</v>
      </c>
    </row>
    <row r="74" spans="1:17" s="20" customFormat="1" ht="30" customHeight="1" x14ac:dyDescent="0.25">
      <c r="A74" s="89"/>
      <c r="B74" s="39" t="s">
        <v>620</v>
      </c>
      <c r="C74" s="46" t="s">
        <v>211</v>
      </c>
      <c r="D74" s="34" t="s">
        <v>448</v>
      </c>
      <c r="E74" s="35"/>
      <c r="F74" s="36"/>
      <c r="G74" s="36"/>
      <c r="H74" s="677" t="s">
        <v>447</v>
      </c>
      <c r="I74" s="678"/>
      <c r="J74" s="678"/>
      <c r="K74" s="678"/>
      <c r="L74" s="678"/>
      <c r="M74" s="679"/>
      <c r="N74" s="37" t="s">
        <v>36</v>
      </c>
      <c r="O74" s="31">
        <v>76</v>
      </c>
      <c r="P74" s="31"/>
      <c r="Q74" s="32">
        <f t="shared" si="1"/>
        <v>76</v>
      </c>
    </row>
    <row r="75" spans="1:17" s="20" customFormat="1" ht="30" customHeight="1" x14ac:dyDescent="0.25">
      <c r="A75" s="89"/>
      <c r="B75" s="39" t="s">
        <v>621</v>
      </c>
      <c r="C75" s="46" t="s">
        <v>211</v>
      </c>
      <c r="D75" s="34" t="s">
        <v>446</v>
      </c>
      <c r="E75" s="35"/>
      <c r="F75" s="36"/>
      <c r="G75" s="36"/>
      <c r="H75" s="677" t="s">
        <v>445</v>
      </c>
      <c r="I75" s="678"/>
      <c r="J75" s="678"/>
      <c r="K75" s="678"/>
      <c r="L75" s="678"/>
      <c r="M75" s="679"/>
      <c r="N75" s="37" t="s">
        <v>36</v>
      </c>
      <c r="O75" s="31">
        <v>8</v>
      </c>
      <c r="P75" s="31"/>
      <c r="Q75" s="32">
        <f t="shared" si="1"/>
        <v>8</v>
      </c>
    </row>
    <row r="76" spans="1:17" s="20" customFormat="1" ht="30" customHeight="1" x14ac:dyDescent="0.25">
      <c r="A76" s="89"/>
      <c r="B76" s="39" t="s">
        <v>622</v>
      </c>
      <c r="C76" s="46" t="s">
        <v>211</v>
      </c>
      <c r="D76" s="34" t="s">
        <v>449</v>
      </c>
      <c r="E76" s="35"/>
      <c r="F76" s="36"/>
      <c r="G76" s="36"/>
      <c r="H76" s="677" t="s">
        <v>450</v>
      </c>
      <c r="I76" s="678"/>
      <c r="J76" s="678"/>
      <c r="K76" s="678"/>
      <c r="L76" s="678"/>
      <c r="M76" s="679"/>
      <c r="N76" s="37" t="s">
        <v>36</v>
      </c>
      <c r="O76" s="31">
        <v>8</v>
      </c>
      <c r="P76" s="31"/>
      <c r="Q76" s="32">
        <f t="shared" si="1"/>
        <v>8</v>
      </c>
    </row>
    <row r="77" spans="1:17" s="20" customFormat="1" ht="30" customHeight="1" x14ac:dyDescent="0.25">
      <c r="A77" s="89"/>
      <c r="B77" s="39" t="s">
        <v>623</v>
      </c>
      <c r="C77" s="46" t="s">
        <v>214</v>
      </c>
      <c r="D77" s="34" t="s">
        <v>442</v>
      </c>
      <c r="E77" s="35"/>
      <c r="F77" s="36"/>
      <c r="G77" s="36"/>
      <c r="H77" s="677" t="s">
        <v>441</v>
      </c>
      <c r="I77" s="678"/>
      <c r="J77" s="678"/>
      <c r="K77" s="678"/>
      <c r="L77" s="678"/>
      <c r="M77" s="679"/>
      <c r="N77" s="37" t="s">
        <v>36</v>
      </c>
      <c r="O77" s="31">
        <v>27</v>
      </c>
      <c r="P77" s="31"/>
      <c r="Q77" s="32">
        <f t="shared" si="1"/>
        <v>27</v>
      </c>
    </row>
    <row r="78" spans="1:17" s="325" customFormat="1" ht="30" customHeight="1" x14ac:dyDescent="0.25">
      <c r="A78" s="324"/>
      <c r="B78" s="39" t="s">
        <v>624</v>
      </c>
      <c r="C78" s="46" t="s">
        <v>211</v>
      </c>
      <c r="D78" s="34" t="s">
        <v>463</v>
      </c>
      <c r="E78" s="35"/>
      <c r="F78" s="36"/>
      <c r="G78" s="36"/>
      <c r="H78" s="677" t="s">
        <v>462</v>
      </c>
      <c r="I78" s="678"/>
      <c r="J78" s="678"/>
      <c r="K78" s="678"/>
      <c r="L78" s="678"/>
      <c r="M78" s="679"/>
      <c r="N78" s="37" t="s">
        <v>36</v>
      </c>
      <c r="O78" s="31">
        <v>22</v>
      </c>
      <c r="P78" s="31"/>
      <c r="Q78" s="32">
        <f t="shared" si="1"/>
        <v>22</v>
      </c>
    </row>
    <row r="79" spans="1:17" s="20" customFormat="1" ht="30" customHeight="1" x14ac:dyDescent="0.25">
      <c r="A79" s="89"/>
      <c r="B79" s="33" t="s">
        <v>625</v>
      </c>
      <c r="C79" s="46"/>
      <c r="D79" s="34"/>
      <c r="E79" s="35"/>
      <c r="F79" s="36"/>
      <c r="G79" s="28" t="s">
        <v>451</v>
      </c>
      <c r="H79" s="81"/>
      <c r="I79" s="82"/>
      <c r="J79" s="82"/>
      <c r="K79" s="82"/>
      <c r="L79" s="82"/>
      <c r="M79" s="83"/>
      <c r="N79" s="37"/>
      <c r="O79" s="31"/>
      <c r="P79" s="31"/>
      <c r="Q79" s="32">
        <f t="shared" si="1"/>
        <v>0</v>
      </c>
    </row>
    <row r="80" spans="1:17" s="325" customFormat="1" ht="30" customHeight="1" x14ac:dyDescent="0.25">
      <c r="A80" s="324"/>
      <c r="B80" s="39" t="s">
        <v>626</v>
      </c>
      <c r="C80" s="46" t="s">
        <v>31</v>
      </c>
      <c r="D80" s="34">
        <v>91967</v>
      </c>
      <c r="E80" s="35"/>
      <c r="F80" s="36"/>
      <c r="G80" s="36"/>
      <c r="H80" s="677" t="s">
        <v>494</v>
      </c>
      <c r="I80" s="678"/>
      <c r="J80" s="678"/>
      <c r="K80" s="678"/>
      <c r="L80" s="678"/>
      <c r="M80" s="679"/>
      <c r="N80" s="37" t="s">
        <v>36</v>
      </c>
      <c r="O80" s="31">
        <v>2</v>
      </c>
      <c r="P80" s="31"/>
      <c r="Q80" s="32">
        <f t="shared" si="1"/>
        <v>2</v>
      </c>
    </row>
    <row r="81" spans="1:17" s="325" customFormat="1" ht="30" customHeight="1" x14ac:dyDescent="0.25">
      <c r="A81" s="324"/>
      <c r="B81" s="39" t="s">
        <v>627</v>
      </c>
      <c r="C81" s="46" t="s">
        <v>31</v>
      </c>
      <c r="D81" s="34">
        <v>91959</v>
      </c>
      <c r="E81" s="35"/>
      <c r="F81" s="36"/>
      <c r="G81" s="36"/>
      <c r="H81" s="677" t="s">
        <v>278</v>
      </c>
      <c r="I81" s="678"/>
      <c r="J81" s="678"/>
      <c r="K81" s="678"/>
      <c r="L81" s="678"/>
      <c r="M81" s="679"/>
      <c r="N81" s="37" t="s">
        <v>36</v>
      </c>
      <c r="O81" s="31">
        <v>10</v>
      </c>
      <c r="P81" s="31"/>
      <c r="Q81" s="32">
        <f t="shared" ref="Q81:Q112" si="2">+SUM(O81:P81)</f>
        <v>10</v>
      </c>
    </row>
    <row r="82" spans="1:17" s="325" customFormat="1" ht="30" customHeight="1" x14ac:dyDescent="0.25">
      <c r="A82" s="324"/>
      <c r="B82" s="39" t="s">
        <v>628</v>
      </c>
      <c r="C82" s="46" t="s">
        <v>31</v>
      </c>
      <c r="D82" s="34">
        <v>91953</v>
      </c>
      <c r="E82" s="35"/>
      <c r="F82" s="36"/>
      <c r="G82" s="36"/>
      <c r="H82" s="677" t="s">
        <v>279</v>
      </c>
      <c r="I82" s="678"/>
      <c r="J82" s="678"/>
      <c r="K82" s="678"/>
      <c r="L82" s="678"/>
      <c r="M82" s="679"/>
      <c r="N82" s="37" t="s">
        <v>36</v>
      </c>
      <c r="O82" s="31">
        <v>148</v>
      </c>
      <c r="P82" s="31"/>
      <c r="Q82" s="32">
        <f t="shared" si="2"/>
        <v>148</v>
      </c>
    </row>
    <row r="83" spans="1:17" s="325" customFormat="1" ht="30" customHeight="1" x14ac:dyDescent="0.25">
      <c r="A83" s="324"/>
      <c r="B83" s="39" t="s">
        <v>629</v>
      </c>
      <c r="C83" s="46" t="s">
        <v>31</v>
      </c>
      <c r="D83" s="34">
        <v>91955</v>
      </c>
      <c r="E83" s="35"/>
      <c r="F83" s="36"/>
      <c r="G83" s="36"/>
      <c r="H83" s="677" t="s">
        <v>495</v>
      </c>
      <c r="I83" s="678"/>
      <c r="J83" s="678"/>
      <c r="K83" s="678"/>
      <c r="L83" s="678"/>
      <c r="M83" s="679"/>
      <c r="N83" s="37" t="s">
        <v>36</v>
      </c>
      <c r="O83" s="31">
        <v>4</v>
      </c>
      <c r="P83" s="31"/>
      <c r="Q83" s="32">
        <f t="shared" si="2"/>
        <v>4</v>
      </c>
    </row>
    <row r="84" spans="1:17" s="325" customFormat="1" ht="30" customHeight="1" x14ac:dyDescent="0.25">
      <c r="A84" s="324"/>
      <c r="B84" s="39" t="s">
        <v>630</v>
      </c>
      <c r="C84" s="46" t="s">
        <v>31</v>
      </c>
      <c r="D84" s="34">
        <v>91969</v>
      </c>
      <c r="E84" s="35"/>
      <c r="F84" s="36"/>
      <c r="G84" s="36"/>
      <c r="H84" s="677" t="s">
        <v>496</v>
      </c>
      <c r="I84" s="678"/>
      <c r="J84" s="678"/>
      <c r="K84" s="678"/>
      <c r="L84" s="678"/>
      <c r="M84" s="679"/>
      <c r="N84" s="37" t="s">
        <v>36</v>
      </c>
      <c r="O84" s="31">
        <v>2</v>
      </c>
      <c r="P84" s="31"/>
      <c r="Q84" s="32">
        <f t="shared" si="2"/>
        <v>2</v>
      </c>
    </row>
    <row r="85" spans="1:17" s="325" customFormat="1" ht="30" customHeight="1" x14ac:dyDescent="0.25">
      <c r="A85" s="324"/>
      <c r="B85" s="39" t="s">
        <v>631</v>
      </c>
      <c r="C85" s="46" t="s">
        <v>31</v>
      </c>
      <c r="D85" s="34">
        <v>92004</v>
      </c>
      <c r="E85" s="35"/>
      <c r="F85" s="36"/>
      <c r="G85" s="36"/>
      <c r="H85" s="677" t="s">
        <v>280</v>
      </c>
      <c r="I85" s="678"/>
      <c r="J85" s="678"/>
      <c r="K85" s="678"/>
      <c r="L85" s="678"/>
      <c r="M85" s="679"/>
      <c r="N85" s="37" t="s">
        <v>36</v>
      </c>
      <c r="O85" s="31">
        <v>11</v>
      </c>
      <c r="P85" s="31"/>
      <c r="Q85" s="32">
        <f t="shared" si="2"/>
        <v>11</v>
      </c>
    </row>
    <row r="86" spans="1:17" s="325" customFormat="1" ht="30" customHeight="1" x14ac:dyDescent="0.25">
      <c r="A86" s="324"/>
      <c r="B86" s="39" t="s">
        <v>632</v>
      </c>
      <c r="C86" s="46" t="s">
        <v>31</v>
      </c>
      <c r="D86" s="34">
        <v>91996</v>
      </c>
      <c r="E86" s="35"/>
      <c r="F86" s="36"/>
      <c r="G86" s="36"/>
      <c r="H86" s="677" t="s">
        <v>281</v>
      </c>
      <c r="I86" s="678"/>
      <c r="J86" s="678"/>
      <c r="K86" s="678"/>
      <c r="L86" s="678"/>
      <c r="M86" s="679"/>
      <c r="N86" s="37" t="s">
        <v>36</v>
      </c>
      <c r="O86" s="31">
        <v>182</v>
      </c>
      <c r="P86" s="31"/>
      <c r="Q86" s="32">
        <f t="shared" si="2"/>
        <v>182</v>
      </c>
    </row>
    <row r="87" spans="1:17" s="325" customFormat="1" ht="30" customHeight="1" x14ac:dyDescent="0.25">
      <c r="A87" s="324"/>
      <c r="B87" s="39" t="s">
        <v>633</v>
      </c>
      <c r="C87" s="46" t="s">
        <v>211</v>
      </c>
      <c r="D87" s="34" t="s">
        <v>461</v>
      </c>
      <c r="E87" s="35"/>
      <c r="F87" s="36"/>
      <c r="G87" s="36"/>
      <c r="H87" s="677" t="s">
        <v>460</v>
      </c>
      <c r="I87" s="678"/>
      <c r="J87" s="678"/>
      <c r="K87" s="678"/>
      <c r="L87" s="678"/>
      <c r="M87" s="679"/>
      <c r="N87" s="37" t="s">
        <v>36</v>
      </c>
      <c r="O87" s="31">
        <v>644</v>
      </c>
      <c r="P87" s="31"/>
      <c r="Q87" s="32">
        <f t="shared" si="2"/>
        <v>644</v>
      </c>
    </row>
    <row r="88" spans="1:17" s="20" customFormat="1" ht="30" customHeight="1" x14ac:dyDescent="0.25">
      <c r="A88" s="89"/>
      <c r="B88" s="33" t="s">
        <v>634</v>
      </c>
      <c r="C88" s="46"/>
      <c r="D88" s="34"/>
      <c r="E88" s="35"/>
      <c r="F88" s="36"/>
      <c r="G88" s="28" t="s">
        <v>248</v>
      </c>
      <c r="H88" s="81"/>
      <c r="I88" s="82"/>
      <c r="J88" s="82"/>
      <c r="K88" s="82"/>
      <c r="L88" s="82"/>
      <c r="M88" s="83"/>
      <c r="N88" s="37"/>
      <c r="O88" s="31"/>
      <c r="P88" s="31"/>
      <c r="Q88" s="32">
        <f t="shared" si="2"/>
        <v>0</v>
      </c>
    </row>
    <row r="89" spans="1:17" s="325" customFormat="1" ht="30" customHeight="1" x14ac:dyDescent="0.25">
      <c r="A89" s="324"/>
      <c r="B89" s="39" t="s">
        <v>635</v>
      </c>
      <c r="C89" s="46" t="s">
        <v>31</v>
      </c>
      <c r="D89" s="34">
        <v>91940</v>
      </c>
      <c r="E89" s="35"/>
      <c r="F89" s="36"/>
      <c r="G89" s="36"/>
      <c r="H89" s="677" t="s">
        <v>282</v>
      </c>
      <c r="I89" s="678"/>
      <c r="J89" s="678"/>
      <c r="K89" s="678"/>
      <c r="L89" s="678"/>
      <c r="M89" s="679"/>
      <c r="N89" s="37" t="s">
        <v>36</v>
      </c>
      <c r="O89" s="31">
        <v>413</v>
      </c>
      <c r="P89" s="31"/>
      <c r="Q89" s="32">
        <f t="shared" si="2"/>
        <v>413</v>
      </c>
    </row>
    <row r="90" spans="1:17" s="325" customFormat="1" ht="30" customHeight="1" x14ac:dyDescent="0.25">
      <c r="A90" s="324"/>
      <c r="B90" s="39" t="s">
        <v>636</v>
      </c>
      <c r="C90" s="46" t="s">
        <v>31</v>
      </c>
      <c r="D90" s="34">
        <v>91936</v>
      </c>
      <c r="E90" s="35"/>
      <c r="F90" s="36"/>
      <c r="G90" s="36"/>
      <c r="H90" s="677" t="s">
        <v>283</v>
      </c>
      <c r="I90" s="678"/>
      <c r="J90" s="678"/>
      <c r="K90" s="678"/>
      <c r="L90" s="678"/>
      <c r="M90" s="679"/>
      <c r="N90" s="37" t="s">
        <v>36</v>
      </c>
      <c r="O90" s="31">
        <v>904</v>
      </c>
      <c r="P90" s="31"/>
      <c r="Q90" s="32">
        <f t="shared" si="2"/>
        <v>904</v>
      </c>
    </row>
    <row r="91" spans="1:17" s="325" customFormat="1" ht="30" customHeight="1" x14ac:dyDescent="0.25">
      <c r="A91" s="324"/>
      <c r="B91" s="39" t="s">
        <v>688</v>
      </c>
      <c r="C91" s="46" t="s">
        <v>214</v>
      </c>
      <c r="D91" s="34" t="s">
        <v>285</v>
      </c>
      <c r="E91" s="35"/>
      <c r="F91" s="36"/>
      <c r="G91" s="36"/>
      <c r="H91" s="677" t="s">
        <v>284</v>
      </c>
      <c r="I91" s="678"/>
      <c r="J91" s="678"/>
      <c r="K91" s="678"/>
      <c r="L91" s="678"/>
      <c r="M91" s="679"/>
      <c r="N91" s="37" t="s">
        <v>36</v>
      </c>
      <c r="O91" s="31">
        <v>9</v>
      </c>
      <c r="P91" s="31"/>
      <c r="Q91" s="32">
        <f t="shared" si="2"/>
        <v>9</v>
      </c>
    </row>
    <row r="92" spans="1:17" s="325" customFormat="1" ht="30" customHeight="1" x14ac:dyDescent="0.25">
      <c r="A92" s="324"/>
      <c r="B92" s="39" t="s">
        <v>689</v>
      </c>
      <c r="C92" s="46" t="s">
        <v>211</v>
      </c>
      <c r="D92" s="34" t="s">
        <v>453</v>
      </c>
      <c r="E92" s="35"/>
      <c r="F92" s="36"/>
      <c r="G92" s="36"/>
      <c r="H92" s="677" t="s">
        <v>452</v>
      </c>
      <c r="I92" s="678"/>
      <c r="J92" s="678"/>
      <c r="K92" s="678"/>
      <c r="L92" s="678"/>
      <c r="M92" s="679"/>
      <c r="N92" s="37" t="s">
        <v>36</v>
      </c>
      <c r="O92" s="31">
        <v>31</v>
      </c>
      <c r="P92" s="31"/>
      <c r="Q92" s="32">
        <f t="shared" si="2"/>
        <v>31</v>
      </c>
    </row>
    <row r="93" spans="1:17" s="325" customFormat="1" ht="30" customHeight="1" x14ac:dyDescent="0.25">
      <c r="A93" s="324"/>
      <c r="B93" s="39" t="s">
        <v>690</v>
      </c>
      <c r="C93" s="46" t="s">
        <v>211</v>
      </c>
      <c r="D93" s="34" t="s">
        <v>454</v>
      </c>
      <c r="E93" s="35"/>
      <c r="F93" s="36"/>
      <c r="G93" s="36"/>
      <c r="H93" s="677" t="s">
        <v>455</v>
      </c>
      <c r="I93" s="678"/>
      <c r="J93" s="678"/>
      <c r="K93" s="678"/>
      <c r="L93" s="678"/>
      <c r="M93" s="679"/>
      <c r="N93" s="37" t="s">
        <v>36</v>
      </c>
      <c r="O93" s="31">
        <v>339</v>
      </c>
      <c r="P93" s="31"/>
      <c r="Q93" s="32">
        <f t="shared" si="2"/>
        <v>339</v>
      </c>
    </row>
    <row r="94" spans="1:17" s="325" customFormat="1" ht="30" customHeight="1" x14ac:dyDescent="0.25">
      <c r="A94" s="324"/>
      <c r="B94" s="39" t="s">
        <v>691</v>
      </c>
      <c r="C94" s="46" t="s">
        <v>211</v>
      </c>
      <c r="D94" s="34" t="s">
        <v>457</v>
      </c>
      <c r="E94" s="35"/>
      <c r="F94" s="36"/>
      <c r="G94" s="36"/>
      <c r="H94" s="677" t="s">
        <v>456</v>
      </c>
      <c r="I94" s="678"/>
      <c r="J94" s="678"/>
      <c r="K94" s="678"/>
      <c r="L94" s="678"/>
      <c r="M94" s="679"/>
      <c r="N94" s="37" t="s">
        <v>35</v>
      </c>
      <c r="O94" s="31">
        <f>+O45</f>
        <v>761.8</v>
      </c>
      <c r="P94" s="31"/>
      <c r="Q94" s="32">
        <f t="shared" si="2"/>
        <v>761.8</v>
      </c>
    </row>
    <row r="95" spans="1:17" s="325" customFormat="1" ht="30" customHeight="1" x14ac:dyDescent="0.25">
      <c r="A95" s="324"/>
      <c r="B95" s="39" t="s">
        <v>692</v>
      </c>
      <c r="C95" s="46" t="s">
        <v>31</v>
      </c>
      <c r="D95" s="34">
        <v>93017</v>
      </c>
      <c r="E95" s="35"/>
      <c r="F95" s="36"/>
      <c r="G95" s="36"/>
      <c r="H95" s="677" t="s">
        <v>459</v>
      </c>
      <c r="I95" s="678"/>
      <c r="J95" s="678"/>
      <c r="K95" s="678"/>
      <c r="L95" s="678"/>
      <c r="M95" s="679"/>
      <c r="N95" s="37" t="s">
        <v>36</v>
      </c>
      <c r="O95" s="31">
        <v>1</v>
      </c>
      <c r="P95" s="31"/>
      <c r="Q95" s="32">
        <f t="shared" si="2"/>
        <v>1</v>
      </c>
    </row>
    <row r="96" spans="1:17" s="325" customFormat="1" ht="30" customHeight="1" x14ac:dyDescent="0.25">
      <c r="A96" s="324"/>
      <c r="B96" s="39" t="s">
        <v>693</v>
      </c>
      <c r="C96" s="46" t="s">
        <v>211</v>
      </c>
      <c r="D96" s="34" t="s">
        <v>506</v>
      </c>
      <c r="E96" s="35"/>
      <c r="F96" s="36"/>
      <c r="G96" s="36"/>
      <c r="H96" s="677" t="s">
        <v>505</v>
      </c>
      <c r="I96" s="678"/>
      <c r="J96" s="678"/>
      <c r="K96" s="678"/>
      <c r="L96" s="678"/>
      <c r="M96" s="679"/>
      <c r="N96" s="37" t="s">
        <v>36</v>
      </c>
      <c r="O96" s="31">
        <v>24</v>
      </c>
      <c r="P96" s="31"/>
      <c r="Q96" s="32">
        <f t="shared" si="2"/>
        <v>24</v>
      </c>
    </row>
    <row r="97" spans="1:17" s="325" customFormat="1" ht="30" customHeight="1" x14ac:dyDescent="0.25">
      <c r="A97" s="324"/>
      <c r="B97" s="39" t="s">
        <v>694</v>
      </c>
      <c r="C97" s="46" t="s">
        <v>211</v>
      </c>
      <c r="D97" s="34" t="s">
        <v>507</v>
      </c>
      <c r="E97" s="35"/>
      <c r="F97" s="36"/>
      <c r="G97" s="36"/>
      <c r="H97" s="677" t="s">
        <v>508</v>
      </c>
      <c r="I97" s="678"/>
      <c r="J97" s="678"/>
      <c r="K97" s="678"/>
      <c r="L97" s="678"/>
      <c r="M97" s="679"/>
      <c r="N97" s="37" t="s">
        <v>36</v>
      </c>
      <c r="O97" s="31">
        <v>4</v>
      </c>
      <c r="P97" s="31"/>
      <c r="Q97" s="32">
        <f t="shared" si="2"/>
        <v>4</v>
      </c>
    </row>
    <row r="98" spans="1:17" s="325" customFormat="1" ht="30" customHeight="1" x14ac:dyDescent="0.25">
      <c r="A98" s="324"/>
      <c r="B98" s="39" t="s">
        <v>695</v>
      </c>
      <c r="C98" s="46" t="s">
        <v>211</v>
      </c>
      <c r="D98" s="34" t="s">
        <v>510</v>
      </c>
      <c r="E98" s="35"/>
      <c r="F98" s="36"/>
      <c r="G98" s="36"/>
      <c r="H98" s="677" t="s">
        <v>509</v>
      </c>
      <c r="I98" s="678"/>
      <c r="J98" s="678"/>
      <c r="K98" s="678"/>
      <c r="L98" s="678"/>
      <c r="M98" s="679"/>
      <c r="N98" s="37" t="s">
        <v>36</v>
      </c>
      <c r="O98" s="31">
        <f>ROUNDUP((O43+O44)/3,0)</f>
        <v>24</v>
      </c>
      <c r="P98" s="31"/>
      <c r="Q98" s="32">
        <f t="shared" si="2"/>
        <v>24</v>
      </c>
    </row>
    <row r="99" spans="1:17" s="325" customFormat="1" ht="30" customHeight="1" x14ac:dyDescent="0.25">
      <c r="A99" s="324"/>
      <c r="B99" s="39" t="s">
        <v>696</v>
      </c>
      <c r="C99" s="46" t="s">
        <v>211</v>
      </c>
      <c r="D99" s="34" t="s">
        <v>519</v>
      </c>
      <c r="E99" s="35"/>
      <c r="F99" s="36"/>
      <c r="G99" s="36"/>
      <c r="H99" s="677" t="s">
        <v>518</v>
      </c>
      <c r="I99" s="678"/>
      <c r="J99" s="678"/>
      <c r="K99" s="678"/>
      <c r="L99" s="678"/>
      <c r="M99" s="679"/>
      <c r="N99" s="37" t="s">
        <v>36</v>
      </c>
      <c r="O99" s="31">
        <v>6</v>
      </c>
      <c r="P99" s="31"/>
      <c r="Q99" s="32">
        <f t="shared" si="2"/>
        <v>6</v>
      </c>
    </row>
    <row r="100" spans="1:17" s="325" customFormat="1" ht="30" customHeight="1" x14ac:dyDescent="0.25">
      <c r="A100" s="324"/>
      <c r="B100" s="39" t="s">
        <v>697</v>
      </c>
      <c r="C100" s="46" t="s">
        <v>214</v>
      </c>
      <c r="D100" s="34" t="s">
        <v>530</v>
      </c>
      <c r="E100" s="35"/>
      <c r="F100" s="36"/>
      <c r="G100" s="36"/>
      <c r="H100" s="677" t="s">
        <v>529</v>
      </c>
      <c r="I100" s="678"/>
      <c r="J100" s="678"/>
      <c r="K100" s="678"/>
      <c r="L100" s="678"/>
      <c r="M100" s="679"/>
      <c r="N100" s="37" t="s">
        <v>36</v>
      </c>
      <c r="O100" s="31"/>
      <c r="P100" s="31"/>
      <c r="Q100" s="32">
        <f t="shared" si="2"/>
        <v>0</v>
      </c>
    </row>
    <row r="101" spans="1:17" s="325" customFormat="1" ht="30" customHeight="1" x14ac:dyDescent="0.25">
      <c r="A101" s="324"/>
      <c r="B101" s="39" t="s">
        <v>698</v>
      </c>
      <c r="C101" s="46" t="s">
        <v>214</v>
      </c>
      <c r="D101" s="34" t="s">
        <v>532</v>
      </c>
      <c r="E101" s="35"/>
      <c r="F101" s="36"/>
      <c r="G101" s="36"/>
      <c r="H101" s="677" t="s">
        <v>531</v>
      </c>
      <c r="I101" s="677"/>
      <c r="J101" s="677"/>
      <c r="K101" s="677"/>
      <c r="L101" s="677"/>
      <c r="M101" s="680"/>
      <c r="N101" s="37" t="s">
        <v>36</v>
      </c>
      <c r="O101" s="31"/>
      <c r="P101" s="31"/>
      <c r="Q101" s="32">
        <f t="shared" si="2"/>
        <v>0</v>
      </c>
    </row>
    <row r="102" spans="1:17" s="325" customFormat="1" ht="30" customHeight="1" x14ac:dyDescent="0.25">
      <c r="A102" s="324"/>
      <c r="B102" s="39" t="s">
        <v>699</v>
      </c>
      <c r="C102" s="46" t="s">
        <v>211</v>
      </c>
      <c r="D102" s="34" t="s">
        <v>522</v>
      </c>
      <c r="E102" s="35"/>
      <c r="F102" s="36"/>
      <c r="G102" s="36"/>
      <c r="H102" s="677" t="s">
        <v>521</v>
      </c>
      <c r="I102" s="678"/>
      <c r="J102" s="678"/>
      <c r="K102" s="678"/>
      <c r="L102" s="678"/>
      <c r="M102" s="679"/>
      <c r="N102" s="37" t="s">
        <v>36</v>
      </c>
      <c r="O102" s="31">
        <v>936</v>
      </c>
      <c r="P102" s="31"/>
      <c r="Q102" s="32">
        <f t="shared" si="2"/>
        <v>936</v>
      </c>
    </row>
    <row r="103" spans="1:17" s="325" customFormat="1" ht="30" customHeight="1" x14ac:dyDescent="0.25">
      <c r="A103" s="324"/>
      <c r="B103" s="39" t="s">
        <v>700</v>
      </c>
      <c r="C103" s="46" t="s">
        <v>214</v>
      </c>
      <c r="D103" s="34" t="s">
        <v>502</v>
      </c>
      <c r="E103" s="35"/>
      <c r="F103" s="36"/>
      <c r="G103" s="36"/>
      <c r="H103" s="677" t="s">
        <v>501</v>
      </c>
      <c r="I103" s="678"/>
      <c r="J103" s="678"/>
      <c r="K103" s="678"/>
      <c r="L103" s="678"/>
      <c r="M103" s="679"/>
      <c r="N103" s="37" t="s">
        <v>36</v>
      </c>
      <c r="O103" s="31">
        <v>6</v>
      </c>
      <c r="P103" s="31"/>
      <c r="Q103" s="32">
        <f t="shared" si="2"/>
        <v>6</v>
      </c>
    </row>
    <row r="104" spans="1:17" s="325" customFormat="1" ht="30" customHeight="1" x14ac:dyDescent="0.25">
      <c r="A104" s="324"/>
      <c r="B104" s="39" t="s">
        <v>701</v>
      </c>
      <c r="C104" s="46" t="s">
        <v>211</v>
      </c>
      <c r="D104" s="34" t="s">
        <v>503</v>
      </c>
      <c r="E104" s="35"/>
      <c r="F104" s="36"/>
      <c r="G104" s="36"/>
      <c r="H104" s="677" t="s">
        <v>504</v>
      </c>
      <c r="I104" s="678"/>
      <c r="J104" s="678"/>
      <c r="K104" s="678"/>
      <c r="L104" s="678"/>
      <c r="M104" s="679"/>
      <c r="N104" s="37" t="s">
        <v>36</v>
      </c>
      <c r="O104" s="31">
        <v>45</v>
      </c>
      <c r="P104" s="31"/>
      <c r="Q104" s="32">
        <f t="shared" si="2"/>
        <v>45</v>
      </c>
    </row>
    <row r="105" spans="1:17" s="325" customFormat="1" ht="30" customHeight="1" x14ac:dyDescent="0.25">
      <c r="A105" s="324"/>
      <c r="B105" s="39" t="s">
        <v>702</v>
      </c>
      <c r="C105" s="46" t="s">
        <v>214</v>
      </c>
      <c r="D105" s="34" t="s">
        <v>287</v>
      </c>
      <c r="E105" s="35"/>
      <c r="F105" s="36"/>
      <c r="G105" s="36"/>
      <c r="H105" s="677" t="s">
        <v>286</v>
      </c>
      <c r="I105" s="678"/>
      <c r="J105" s="678"/>
      <c r="K105" s="678"/>
      <c r="L105" s="678"/>
      <c r="M105" s="679"/>
      <c r="N105" s="37" t="s">
        <v>36</v>
      </c>
      <c r="O105" s="31">
        <v>291</v>
      </c>
      <c r="P105" s="31"/>
      <c r="Q105" s="32">
        <f t="shared" si="2"/>
        <v>291</v>
      </c>
    </row>
    <row r="106" spans="1:17" s="325" customFormat="1" ht="30" customHeight="1" x14ac:dyDescent="0.25">
      <c r="A106" s="324"/>
      <c r="B106" s="39" t="s">
        <v>703</v>
      </c>
      <c r="C106" s="46" t="s">
        <v>31</v>
      </c>
      <c r="D106" s="34">
        <v>95817</v>
      </c>
      <c r="E106" s="35"/>
      <c r="F106" s="36"/>
      <c r="G106" s="36"/>
      <c r="H106" s="677" t="s">
        <v>458</v>
      </c>
      <c r="I106" s="678"/>
      <c r="J106" s="678"/>
      <c r="K106" s="678"/>
      <c r="L106" s="678"/>
      <c r="M106" s="679"/>
      <c r="N106" s="37" t="s">
        <v>36</v>
      </c>
      <c r="O106" s="31">
        <v>6</v>
      </c>
      <c r="P106" s="31"/>
      <c r="Q106" s="32">
        <f t="shared" si="2"/>
        <v>6</v>
      </c>
    </row>
    <row r="107" spans="1:17" s="325" customFormat="1" ht="30" customHeight="1" x14ac:dyDescent="0.25">
      <c r="A107" s="324"/>
      <c r="B107" s="39" t="s">
        <v>704</v>
      </c>
      <c r="C107" s="46" t="s">
        <v>211</v>
      </c>
      <c r="D107" s="34" t="s">
        <v>465</v>
      </c>
      <c r="E107" s="35"/>
      <c r="F107" s="36"/>
      <c r="G107" s="36"/>
      <c r="H107" s="677" t="s">
        <v>464</v>
      </c>
      <c r="I107" s="678"/>
      <c r="J107" s="678"/>
      <c r="K107" s="678"/>
      <c r="L107" s="678"/>
      <c r="M107" s="679"/>
      <c r="N107" s="37" t="s">
        <v>36</v>
      </c>
      <c r="O107" s="31">
        <v>936</v>
      </c>
      <c r="P107" s="31"/>
      <c r="Q107" s="32">
        <f t="shared" si="2"/>
        <v>936</v>
      </c>
    </row>
    <row r="108" spans="1:17" s="325" customFormat="1" ht="30" customHeight="1" x14ac:dyDescent="0.25">
      <c r="A108" s="324"/>
      <c r="B108" s="39" t="s">
        <v>705</v>
      </c>
      <c r="C108" s="46" t="s">
        <v>211</v>
      </c>
      <c r="D108" s="34" t="s">
        <v>467</v>
      </c>
      <c r="E108" s="35"/>
      <c r="F108" s="36"/>
      <c r="G108" s="36"/>
      <c r="H108" s="677" t="s">
        <v>466</v>
      </c>
      <c r="I108" s="678"/>
      <c r="J108" s="678"/>
      <c r="K108" s="678"/>
      <c r="L108" s="678"/>
      <c r="M108" s="679"/>
      <c r="N108" s="37" t="s">
        <v>36</v>
      </c>
      <c r="O108" s="31">
        <v>2577</v>
      </c>
      <c r="P108" s="31"/>
      <c r="Q108" s="32">
        <f t="shared" si="2"/>
        <v>2577</v>
      </c>
    </row>
    <row r="109" spans="1:17" s="325" customFormat="1" ht="30" customHeight="1" x14ac:dyDescent="0.25">
      <c r="A109" s="324"/>
      <c r="B109" s="39" t="s">
        <v>706</v>
      </c>
      <c r="C109" s="46" t="s">
        <v>211</v>
      </c>
      <c r="D109" s="34" t="s">
        <v>469</v>
      </c>
      <c r="E109" s="35"/>
      <c r="F109" s="36"/>
      <c r="G109" s="36"/>
      <c r="H109" s="677" t="s">
        <v>468</v>
      </c>
      <c r="I109" s="678"/>
      <c r="J109" s="678"/>
      <c r="K109" s="678"/>
      <c r="L109" s="678"/>
      <c r="M109" s="679"/>
      <c r="N109" s="37" t="s">
        <v>36</v>
      </c>
      <c r="O109" s="31">
        <v>12</v>
      </c>
      <c r="P109" s="31"/>
      <c r="Q109" s="32">
        <f t="shared" si="2"/>
        <v>12</v>
      </c>
    </row>
    <row r="110" spans="1:17" s="325" customFormat="1" ht="30" customHeight="1" x14ac:dyDescent="0.25">
      <c r="A110" s="324"/>
      <c r="B110" s="39" t="s">
        <v>707</v>
      </c>
      <c r="C110" s="46" t="s">
        <v>211</v>
      </c>
      <c r="D110" s="34" t="s">
        <v>471</v>
      </c>
      <c r="E110" s="35"/>
      <c r="F110" s="36"/>
      <c r="G110" s="36"/>
      <c r="H110" s="677" t="s">
        <v>470</v>
      </c>
      <c r="I110" s="678"/>
      <c r="J110" s="678"/>
      <c r="K110" s="678"/>
      <c r="L110" s="678"/>
      <c r="M110" s="679"/>
      <c r="N110" s="37" t="s">
        <v>36</v>
      </c>
      <c r="O110" s="31">
        <v>31</v>
      </c>
      <c r="P110" s="31"/>
      <c r="Q110" s="32">
        <f t="shared" si="2"/>
        <v>31</v>
      </c>
    </row>
    <row r="111" spans="1:17" s="325" customFormat="1" ht="30" customHeight="1" x14ac:dyDescent="0.25">
      <c r="A111" s="324"/>
      <c r="B111" s="39" t="s">
        <v>708</v>
      </c>
      <c r="C111" s="46" t="s">
        <v>211</v>
      </c>
      <c r="D111" s="34" t="s">
        <v>473</v>
      </c>
      <c r="E111" s="35"/>
      <c r="F111" s="36"/>
      <c r="G111" s="36"/>
      <c r="H111" s="677" t="s">
        <v>472</v>
      </c>
      <c r="I111" s="678"/>
      <c r="J111" s="678"/>
      <c r="K111" s="678"/>
      <c r="L111" s="678"/>
      <c r="M111" s="679"/>
      <c r="N111" s="37" t="s">
        <v>36</v>
      </c>
      <c r="O111" s="31">
        <v>377</v>
      </c>
      <c r="P111" s="31"/>
      <c r="Q111" s="32">
        <f t="shared" si="2"/>
        <v>377</v>
      </c>
    </row>
    <row r="112" spans="1:17" s="325" customFormat="1" ht="30" customHeight="1" x14ac:dyDescent="0.25">
      <c r="A112" s="324"/>
      <c r="B112" s="39" t="s">
        <v>709</v>
      </c>
      <c r="C112" s="46" t="s">
        <v>211</v>
      </c>
      <c r="D112" s="34" t="s">
        <v>474</v>
      </c>
      <c r="E112" s="35"/>
      <c r="F112" s="36"/>
      <c r="G112" s="36"/>
      <c r="H112" s="677" t="s">
        <v>476</v>
      </c>
      <c r="I112" s="678"/>
      <c r="J112" s="678"/>
      <c r="K112" s="678"/>
      <c r="L112" s="678"/>
      <c r="M112" s="679"/>
      <c r="N112" s="37" t="s">
        <v>36</v>
      </c>
      <c r="O112" s="31">
        <v>1</v>
      </c>
      <c r="P112" s="31"/>
      <c r="Q112" s="32">
        <f t="shared" si="2"/>
        <v>1</v>
      </c>
    </row>
    <row r="113" spans="1:17" s="325" customFormat="1" ht="30" customHeight="1" x14ac:dyDescent="0.25">
      <c r="A113" s="324"/>
      <c r="B113" s="39" t="s">
        <v>710</v>
      </c>
      <c r="C113" s="46" t="s">
        <v>211</v>
      </c>
      <c r="D113" s="34" t="s">
        <v>475</v>
      </c>
      <c r="E113" s="35"/>
      <c r="F113" s="36"/>
      <c r="G113" s="36"/>
      <c r="H113" s="677" t="s">
        <v>477</v>
      </c>
      <c r="I113" s="678"/>
      <c r="J113" s="678"/>
      <c r="K113" s="678"/>
      <c r="L113" s="678"/>
      <c r="M113" s="679"/>
      <c r="N113" s="37" t="s">
        <v>36</v>
      </c>
      <c r="O113" s="31">
        <v>8</v>
      </c>
      <c r="P113" s="31"/>
      <c r="Q113" s="32">
        <f t="shared" ref="Q113:Q134" si="3">+SUM(O113:P113)</f>
        <v>8</v>
      </c>
    </row>
    <row r="114" spans="1:17" s="325" customFormat="1" ht="30" customHeight="1" x14ac:dyDescent="0.25">
      <c r="A114" s="324"/>
      <c r="B114" s="39" t="s">
        <v>711</v>
      </c>
      <c r="C114" s="46" t="s">
        <v>211</v>
      </c>
      <c r="D114" s="34" t="s">
        <v>481</v>
      </c>
      <c r="E114" s="35"/>
      <c r="F114" s="36"/>
      <c r="G114" s="36"/>
      <c r="H114" s="677" t="s">
        <v>480</v>
      </c>
      <c r="I114" s="678"/>
      <c r="J114" s="678"/>
      <c r="K114" s="678"/>
      <c r="L114" s="678"/>
      <c r="M114" s="679"/>
      <c r="N114" s="37" t="s">
        <v>36</v>
      </c>
      <c r="O114" s="31">
        <v>1</v>
      </c>
      <c r="P114" s="31"/>
      <c r="Q114" s="32">
        <f t="shared" si="3"/>
        <v>1</v>
      </c>
    </row>
    <row r="115" spans="1:17" s="325" customFormat="1" ht="30" customHeight="1" x14ac:dyDescent="0.25">
      <c r="A115" s="324"/>
      <c r="B115" s="39" t="s">
        <v>712</v>
      </c>
      <c r="C115" s="46" t="s">
        <v>211</v>
      </c>
      <c r="D115" s="34" t="s">
        <v>482</v>
      </c>
      <c r="E115" s="35"/>
      <c r="F115" s="36"/>
      <c r="G115" s="36"/>
      <c r="H115" s="677" t="s">
        <v>485</v>
      </c>
      <c r="I115" s="678"/>
      <c r="J115" s="678"/>
      <c r="K115" s="678"/>
      <c r="L115" s="678"/>
      <c r="M115" s="679"/>
      <c r="N115" s="37" t="s">
        <v>36</v>
      </c>
      <c r="O115" s="31">
        <v>8</v>
      </c>
      <c r="P115" s="31"/>
      <c r="Q115" s="32">
        <f t="shared" si="3"/>
        <v>8</v>
      </c>
    </row>
    <row r="116" spans="1:17" s="325" customFormat="1" ht="30" customHeight="1" x14ac:dyDescent="0.25">
      <c r="A116" s="324"/>
      <c r="B116" s="39" t="s">
        <v>713</v>
      </c>
      <c r="C116" s="46" t="s">
        <v>211</v>
      </c>
      <c r="D116" s="34" t="s">
        <v>483</v>
      </c>
      <c r="E116" s="35"/>
      <c r="F116" s="36"/>
      <c r="G116" s="36"/>
      <c r="H116" s="677" t="s">
        <v>484</v>
      </c>
      <c r="I116" s="678"/>
      <c r="J116" s="678"/>
      <c r="K116" s="678"/>
      <c r="L116" s="678"/>
      <c r="M116" s="679"/>
      <c r="N116" s="37" t="s">
        <v>36</v>
      </c>
      <c r="O116" s="31">
        <v>6</v>
      </c>
      <c r="P116" s="31"/>
      <c r="Q116" s="32">
        <f t="shared" si="3"/>
        <v>6</v>
      </c>
    </row>
    <row r="117" spans="1:17" s="325" customFormat="1" ht="30" customHeight="1" x14ac:dyDescent="0.25">
      <c r="A117" s="324"/>
      <c r="B117" s="39" t="s">
        <v>714</v>
      </c>
      <c r="C117" s="46" t="s">
        <v>211</v>
      </c>
      <c r="D117" s="34" t="s">
        <v>487</v>
      </c>
      <c r="E117" s="35"/>
      <c r="F117" s="36"/>
      <c r="G117" s="36"/>
      <c r="H117" s="677" t="s">
        <v>486</v>
      </c>
      <c r="I117" s="678"/>
      <c r="J117" s="678"/>
      <c r="K117" s="678"/>
      <c r="L117" s="678"/>
      <c r="M117" s="679"/>
      <c r="N117" s="37" t="s">
        <v>36</v>
      </c>
      <c r="O117" s="31">
        <v>51</v>
      </c>
      <c r="P117" s="31"/>
      <c r="Q117" s="32">
        <f t="shared" si="3"/>
        <v>51</v>
      </c>
    </row>
    <row r="118" spans="1:17" s="325" customFormat="1" ht="30" customHeight="1" x14ac:dyDescent="0.25">
      <c r="A118" s="324"/>
      <c r="B118" s="39" t="s">
        <v>715</v>
      </c>
      <c r="C118" s="46" t="s">
        <v>211</v>
      </c>
      <c r="D118" s="34" t="s">
        <v>488</v>
      </c>
      <c r="E118" s="35"/>
      <c r="F118" s="36"/>
      <c r="G118" s="36"/>
      <c r="H118" s="677" t="s">
        <v>489</v>
      </c>
      <c r="I118" s="678"/>
      <c r="J118" s="678"/>
      <c r="K118" s="678"/>
      <c r="L118" s="678"/>
      <c r="M118" s="679"/>
      <c r="N118" s="37" t="s">
        <v>36</v>
      </c>
      <c r="O118" s="31">
        <v>1448</v>
      </c>
      <c r="P118" s="31"/>
      <c r="Q118" s="32">
        <f t="shared" si="3"/>
        <v>1448</v>
      </c>
    </row>
    <row r="119" spans="1:17" s="325" customFormat="1" ht="30" customHeight="1" x14ac:dyDescent="0.25">
      <c r="A119" s="324"/>
      <c r="B119" s="39" t="s">
        <v>716</v>
      </c>
      <c r="C119" s="46" t="s">
        <v>211</v>
      </c>
      <c r="D119" s="34" t="s">
        <v>491</v>
      </c>
      <c r="E119" s="35"/>
      <c r="F119" s="36"/>
      <c r="G119" s="36"/>
      <c r="H119" s="677" t="s">
        <v>490</v>
      </c>
      <c r="I119" s="678"/>
      <c r="J119" s="678"/>
      <c r="K119" s="678"/>
      <c r="L119" s="678"/>
      <c r="M119" s="679"/>
      <c r="N119" s="37" t="s">
        <v>36</v>
      </c>
      <c r="O119" s="31">
        <v>2465</v>
      </c>
      <c r="P119" s="31"/>
      <c r="Q119" s="32">
        <f t="shared" si="3"/>
        <v>2465</v>
      </c>
    </row>
    <row r="120" spans="1:17" s="325" customFormat="1" ht="30" customHeight="1" x14ac:dyDescent="0.25">
      <c r="A120" s="324"/>
      <c r="B120" s="39" t="s">
        <v>717</v>
      </c>
      <c r="C120" s="46" t="s">
        <v>211</v>
      </c>
      <c r="D120" s="34" t="s">
        <v>493</v>
      </c>
      <c r="E120" s="35"/>
      <c r="F120" s="36"/>
      <c r="G120" s="36"/>
      <c r="H120" s="677" t="s">
        <v>492</v>
      </c>
      <c r="I120" s="678"/>
      <c r="J120" s="678"/>
      <c r="K120" s="678"/>
      <c r="L120" s="678"/>
      <c r="M120" s="679"/>
      <c r="N120" s="37" t="s">
        <v>36</v>
      </c>
      <c r="O120" s="31">
        <v>936</v>
      </c>
      <c r="P120" s="31"/>
      <c r="Q120" s="32">
        <f t="shared" si="3"/>
        <v>936</v>
      </c>
    </row>
    <row r="121" spans="1:17" s="325" customFormat="1" ht="30" customHeight="1" x14ac:dyDescent="0.25">
      <c r="A121" s="324"/>
      <c r="B121" s="39" t="s">
        <v>718</v>
      </c>
      <c r="C121" s="46" t="s">
        <v>214</v>
      </c>
      <c r="D121" s="34" t="s">
        <v>479</v>
      </c>
      <c r="E121" s="35"/>
      <c r="F121" s="36"/>
      <c r="G121" s="36"/>
      <c r="H121" s="677" t="s">
        <v>478</v>
      </c>
      <c r="I121" s="678"/>
      <c r="J121" s="678"/>
      <c r="K121" s="678"/>
      <c r="L121" s="678"/>
      <c r="M121" s="679"/>
      <c r="N121" s="37" t="s">
        <v>35</v>
      </c>
      <c r="O121" s="31">
        <f>987*0.6</f>
        <v>592.19999999999993</v>
      </c>
      <c r="P121" s="31"/>
      <c r="Q121" s="32">
        <f t="shared" si="3"/>
        <v>592.19999999999993</v>
      </c>
    </row>
    <row r="122" spans="1:17" s="325" customFormat="1" ht="30" customHeight="1" x14ac:dyDescent="0.25">
      <c r="A122" s="324"/>
      <c r="B122" s="39" t="s">
        <v>719</v>
      </c>
      <c r="C122" s="46" t="s">
        <v>31</v>
      </c>
      <c r="D122" s="34">
        <v>101553</v>
      </c>
      <c r="E122" s="35"/>
      <c r="F122" s="36"/>
      <c r="G122" s="36"/>
      <c r="H122" s="677" t="s">
        <v>533</v>
      </c>
      <c r="I122" s="678"/>
      <c r="J122" s="678"/>
      <c r="K122" s="678"/>
      <c r="L122" s="678"/>
      <c r="M122" s="679"/>
      <c r="N122" s="37" t="s">
        <v>36</v>
      </c>
      <c r="O122" s="31">
        <v>3</v>
      </c>
      <c r="P122" s="31"/>
      <c r="Q122" s="32">
        <f t="shared" si="3"/>
        <v>3</v>
      </c>
    </row>
    <row r="123" spans="1:17" s="325" customFormat="1" ht="30" customHeight="1" x14ac:dyDescent="0.25">
      <c r="A123" s="324"/>
      <c r="B123" s="39" t="s">
        <v>720</v>
      </c>
      <c r="C123" s="46" t="s">
        <v>31</v>
      </c>
      <c r="D123" s="34">
        <v>101547</v>
      </c>
      <c r="E123" s="35"/>
      <c r="F123" s="36"/>
      <c r="G123" s="36"/>
      <c r="H123" s="677" t="s">
        <v>534</v>
      </c>
      <c r="I123" s="678"/>
      <c r="J123" s="678"/>
      <c r="K123" s="678"/>
      <c r="L123" s="678"/>
      <c r="M123" s="679"/>
      <c r="N123" s="37" t="s">
        <v>36</v>
      </c>
      <c r="O123" s="31">
        <v>3</v>
      </c>
      <c r="P123" s="31"/>
      <c r="Q123" s="32">
        <f t="shared" si="3"/>
        <v>3</v>
      </c>
    </row>
    <row r="124" spans="1:17" s="325" customFormat="1" ht="30" customHeight="1" x14ac:dyDescent="0.25">
      <c r="A124" s="324"/>
      <c r="B124" s="39" t="s">
        <v>721</v>
      </c>
      <c r="C124" s="46" t="s">
        <v>214</v>
      </c>
      <c r="D124" s="34" t="s">
        <v>536</v>
      </c>
      <c r="E124" s="35"/>
      <c r="F124" s="36"/>
      <c r="G124" s="36"/>
      <c r="H124" s="677" t="s">
        <v>535</v>
      </c>
      <c r="I124" s="678"/>
      <c r="J124" s="678"/>
      <c r="K124" s="678"/>
      <c r="L124" s="678"/>
      <c r="M124" s="679"/>
      <c r="N124" s="37" t="s">
        <v>36</v>
      </c>
      <c r="O124" s="31">
        <v>1</v>
      </c>
      <c r="P124" s="31"/>
      <c r="Q124" s="32">
        <f t="shared" si="3"/>
        <v>1</v>
      </c>
    </row>
    <row r="125" spans="1:17" s="325" customFormat="1" ht="30" customHeight="1" x14ac:dyDescent="0.25">
      <c r="A125" s="324"/>
      <c r="B125" s="39" t="s">
        <v>722</v>
      </c>
      <c r="C125" s="46" t="s">
        <v>214</v>
      </c>
      <c r="D125" s="34" t="s">
        <v>538</v>
      </c>
      <c r="E125" s="35"/>
      <c r="F125" s="36"/>
      <c r="G125" s="36"/>
      <c r="H125" s="677" t="s">
        <v>537</v>
      </c>
      <c r="I125" s="678"/>
      <c r="J125" s="678"/>
      <c r="K125" s="678"/>
      <c r="L125" s="678"/>
      <c r="M125" s="679"/>
      <c r="N125" s="37" t="s">
        <v>36</v>
      </c>
      <c r="O125" s="31">
        <v>1</v>
      </c>
      <c r="P125" s="31"/>
      <c r="Q125" s="32">
        <f t="shared" si="3"/>
        <v>1</v>
      </c>
    </row>
    <row r="126" spans="1:17" s="325" customFormat="1" ht="30" customHeight="1" x14ac:dyDescent="0.25">
      <c r="A126" s="324"/>
      <c r="B126" s="39" t="s">
        <v>723</v>
      </c>
      <c r="C126" s="46" t="s">
        <v>211</v>
      </c>
      <c r="D126" s="34" t="s">
        <v>540</v>
      </c>
      <c r="E126" s="35"/>
      <c r="F126" s="36"/>
      <c r="G126" s="36"/>
      <c r="H126" s="677" t="s">
        <v>539</v>
      </c>
      <c r="I126" s="678"/>
      <c r="J126" s="678"/>
      <c r="K126" s="678"/>
      <c r="L126" s="678"/>
      <c r="M126" s="679"/>
      <c r="N126" s="37" t="s">
        <v>36</v>
      </c>
      <c r="O126" s="31">
        <v>1</v>
      </c>
      <c r="P126" s="31"/>
      <c r="Q126" s="32">
        <f t="shared" si="3"/>
        <v>1</v>
      </c>
    </row>
    <row r="127" spans="1:17" s="325" customFormat="1" ht="30" customHeight="1" x14ac:dyDescent="0.25">
      <c r="A127" s="324"/>
      <c r="B127" s="39" t="s">
        <v>724</v>
      </c>
      <c r="C127" s="46" t="s">
        <v>31</v>
      </c>
      <c r="D127" s="34">
        <v>102109</v>
      </c>
      <c r="E127" s="35"/>
      <c r="F127" s="36"/>
      <c r="G127" s="36"/>
      <c r="H127" s="677" t="s">
        <v>541</v>
      </c>
      <c r="I127" s="678"/>
      <c r="J127" s="678"/>
      <c r="K127" s="678"/>
      <c r="L127" s="678"/>
      <c r="M127" s="679"/>
      <c r="N127" s="37" t="s">
        <v>36</v>
      </c>
      <c r="O127" s="31">
        <v>2</v>
      </c>
      <c r="P127" s="31"/>
      <c r="Q127" s="32">
        <f t="shared" si="3"/>
        <v>2</v>
      </c>
    </row>
    <row r="128" spans="1:17" s="325" customFormat="1" ht="30" customHeight="1" x14ac:dyDescent="0.25">
      <c r="A128" s="324"/>
      <c r="B128" s="39" t="s">
        <v>725</v>
      </c>
      <c r="C128" s="46" t="s">
        <v>211</v>
      </c>
      <c r="D128" s="34" t="s">
        <v>544</v>
      </c>
      <c r="E128" s="35"/>
      <c r="F128" s="36"/>
      <c r="G128" s="36"/>
      <c r="H128" s="677" t="s">
        <v>543</v>
      </c>
      <c r="I128" s="678"/>
      <c r="J128" s="678"/>
      <c r="K128" s="678"/>
      <c r="L128" s="678"/>
      <c r="M128" s="679"/>
      <c r="N128" s="37" t="s">
        <v>36</v>
      </c>
      <c r="O128" s="31">
        <v>1</v>
      </c>
      <c r="P128" s="31"/>
      <c r="Q128" s="32">
        <f t="shared" si="3"/>
        <v>1</v>
      </c>
    </row>
    <row r="129" spans="1:17" s="325" customFormat="1" ht="30" customHeight="1" x14ac:dyDescent="0.25">
      <c r="A129" s="324"/>
      <c r="B129" s="39" t="s">
        <v>726</v>
      </c>
      <c r="C129" s="46" t="s">
        <v>31</v>
      </c>
      <c r="D129" s="34">
        <v>97886</v>
      </c>
      <c r="E129" s="35"/>
      <c r="F129" s="36"/>
      <c r="G129" s="36"/>
      <c r="H129" s="677" t="s">
        <v>528</v>
      </c>
      <c r="I129" s="678"/>
      <c r="J129" s="678"/>
      <c r="K129" s="678"/>
      <c r="L129" s="678"/>
      <c r="M129" s="679"/>
      <c r="N129" s="37" t="s">
        <v>36</v>
      </c>
      <c r="O129" s="31">
        <v>7</v>
      </c>
      <c r="P129" s="31"/>
      <c r="Q129" s="32">
        <f t="shared" si="3"/>
        <v>7</v>
      </c>
    </row>
    <row r="130" spans="1:17" s="20" customFormat="1" ht="30" customHeight="1" x14ac:dyDescent="0.25">
      <c r="A130" s="89"/>
      <c r="B130" s="33" t="s">
        <v>727</v>
      </c>
      <c r="C130" s="46"/>
      <c r="D130" s="34"/>
      <c r="E130" s="35"/>
      <c r="F130" s="36"/>
      <c r="G130" s="28" t="s">
        <v>288</v>
      </c>
      <c r="H130" s="81"/>
      <c r="I130" s="82"/>
      <c r="J130" s="82"/>
      <c r="K130" s="82"/>
      <c r="L130" s="82"/>
      <c r="M130" s="83"/>
      <c r="N130" s="37"/>
      <c r="O130" s="31"/>
      <c r="P130" s="31"/>
      <c r="Q130" s="32">
        <f t="shared" si="3"/>
        <v>0</v>
      </c>
    </row>
    <row r="131" spans="1:17" s="325" customFormat="1" ht="30" customHeight="1" x14ac:dyDescent="0.25">
      <c r="A131" s="324"/>
      <c r="B131" s="39" t="s">
        <v>728</v>
      </c>
      <c r="C131" s="46" t="s">
        <v>211</v>
      </c>
      <c r="D131" s="34" t="s">
        <v>290</v>
      </c>
      <c r="E131" s="35"/>
      <c r="F131" s="36"/>
      <c r="G131" s="36"/>
      <c r="H131" s="677" t="s">
        <v>525</v>
      </c>
      <c r="I131" s="678"/>
      <c r="J131" s="678"/>
      <c r="K131" s="678"/>
      <c r="L131" s="678"/>
      <c r="M131" s="679"/>
      <c r="N131" s="37" t="s">
        <v>36</v>
      </c>
      <c r="O131" s="31">
        <v>813</v>
      </c>
      <c r="P131" s="31"/>
      <c r="Q131" s="32">
        <f t="shared" si="3"/>
        <v>813</v>
      </c>
    </row>
    <row r="132" spans="1:17" s="325" customFormat="1" ht="30" customHeight="1" x14ac:dyDescent="0.25">
      <c r="A132" s="324"/>
      <c r="B132" s="39" t="s">
        <v>729</v>
      </c>
      <c r="C132" s="46" t="s">
        <v>211</v>
      </c>
      <c r="D132" s="34" t="s">
        <v>527</v>
      </c>
      <c r="E132" s="35"/>
      <c r="F132" s="36"/>
      <c r="G132" s="36" t="s">
        <v>289</v>
      </c>
      <c r="H132" s="677" t="s">
        <v>526</v>
      </c>
      <c r="I132" s="678"/>
      <c r="J132" s="678"/>
      <c r="K132" s="678"/>
      <c r="L132" s="678"/>
      <c r="M132" s="679"/>
      <c r="N132" s="37" t="s">
        <v>36</v>
      </c>
      <c r="O132" s="31">
        <v>91</v>
      </c>
      <c r="P132" s="31"/>
      <c r="Q132" s="32">
        <f t="shared" si="3"/>
        <v>91</v>
      </c>
    </row>
    <row r="133" spans="1:17" s="20" customFormat="1" ht="30" customHeight="1" x14ac:dyDescent="0.25">
      <c r="A133" s="88"/>
      <c r="B133" s="33">
        <v>0</v>
      </c>
      <c r="C133" s="41"/>
      <c r="D133" s="45"/>
      <c r="E133" s="27"/>
      <c r="F133" s="28"/>
      <c r="G133" s="43"/>
      <c r="H133" s="28"/>
      <c r="I133" s="28"/>
      <c r="J133" s="28"/>
      <c r="K133" s="28"/>
      <c r="L133" s="43"/>
      <c r="M133" s="29"/>
      <c r="N133" s="30"/>
      <c r="O133" s="31"/>
      <c r="P133" s="31"/>
      <c r="Q133" s="32">
        <f t="shared" si="3"/>
        <v>0</v>
      </c>
    </row>
    <row r="134" spans="1:17" s="20" customFormat="1" ht="30" customHeight="1" x14ac:dyDescent="0.25">
      <c r="A134" s="88"/>
      <c r="B134" s="24">
        <v>6</v>
      </c>
      <c r="C134" s="25"/>
      <c r="D134" s="44"/>
      <c r="E134" s="27"/>
      <c r="F134" s="28" t="s">
        <v>292</v>
      </c>
      <c r="G134" s="28"/>
      <c r="H134" s="28"/>
      <c r="I134" s="28"/>
      <c r="J134" s="28"/>
      <c r="K134" s="28"/>
      <c r="L134" s="28"/>
      <c r="M134" s="29"/>
      <c r="N134" s="30"/>
      <c r="O134" s="31"/>
      <c r="P134" s="31"/>
      <c r="Q134" s="32">
        <f t="shared" si="3"/>
        <v>0</v>
      </c>
    </row>
    <row r="135" spans="1:17" s="20" customFormat="1" ht="30" customHeight="1" x14ac:dyDescent="0.25">
      <c r="A135" s="89"/>
      <c r="B135" s="33" t="s">
        <v>637</v>
      </c>
      <c r="C135" s="46"/>
      <c r="D135" s="34"/>
      <c r="E135" s="35"/>
      <c r="F135" s="36"/>
      <c r="G135" s="28" t="s">
        <v>247</v>
      </c>
      <c r="H135" s="81"/>
      <c r="I135" s="82"/>
      <c r="J135" s="82"/>
      <c r="K135" s="82"/>
      <c r="L135" s="82"/>
      <c r="M135" s="83"/>
      <c r="N135" s="37"/>
      <c r="O135" s="31"/>
      <c r="P135" s="31"/>
      <c r="Q135" s="32">
        <f t="shared" ref="Q135:Q158" si="4">+SUM(O135:P135)</f>
        <v>0</v>
      </c>
    </row>
    <row r="136" spans="1:17" s="325" customFormat="1" ht="30" customHeight="1" x14ac:dyDescent="0.25">
      <c r="A136" s="324"/>
      <c r="B136" s="39" t="s">
        <v>638</v>
      </c>
      <c r="C136" s="46" t="s">
        <v>31</v>
      </c>
      <c r="D136" s="34">
        <v>95746</v>
      </c>
      <c r="E136" s="35"/>
      <c r="F136" s="36"/>
      <c r="G136" s="36"/>
      <c r="H136" s="677" t="s">
        <v>511</v>
      </c>
      <c r="I136" s="677"/>
      <c r="J136" s="677"/>
      <c r="K136" s="677"/>
      <c r="L136" s="677"/>
      <c r="M136" s="680"/>
      <c r="N136" s="37" t="s">
        <v>35</v>
      </c>
      <c r="O136" s="31">
        <v>1474.9</v>
      </c>
      <c r="P136" s="31"/>
      <c r="Q136" s="32">
        <f t="shared" si="4"/>
        <v>1474.9</v>
      </c>
    </row>
    <row r="137" spans="1:17" s="20" customFormat="1" ht="30" customHeight="1" x14ac:dyDescent="0.25">
      <c r="A137" s="89"/>
      <c r="B137" s="39" t="s">
        <v>639</v>
      </c>
      <c r="C137" s="46" t="s">
        <v>214</v>
      </c>
      <c r="D137" s="34" t="s">
        <v>276</v>
      </c>
      <c r="E137" s="35"/>
      <c r="F137" s="36"/>
      <c r="G137" s="36"/>
      <c r="H137" s="677" t="s">
        <v>275</v>
      </c>
      <c r="I137" s="677"/>
      <c r="J137" s="677"/>
      <c r="K137" s="677"/>
      <c r="L137" s="677"/>
      <c r="M137" s="680"/>
      <c r="N137" s="37" t="s">
        <v>35</v>
      </c>
      <c r="O137" s="31">
        <v>677.4</v>
      </c>
      <c r="P137" s="31"/>
      <c r="Q137" s="32">
        <f t="shared" si="4"/>
        <v>677.4</v>
      </c>
    </row>
    <row r="138" spans="1:17" s="325" customFormat="1" ht="30" customHeight="1" x14ac:dyDescent="0.25">
      <c r="A138" s="324"/>
      <c r="B138" s="39" t="s">
        <v>640</v>
      </c>
      <c r="C138" s="46" t="s">
        <v>214</v>
      </c>
      <c r="D138" s="34" t="s">
        <v>498</v>
      </c>
      <c r="E138" s="35"/>
      <c r="F138" s="36"/>
      <c r="G138" s="36"/>
      <c r="H138" s="677" t="s">
        <v>497</v>
      </c>
      <c r="I138" s="677"/>
      <c r="J138" s="677"/>
      <c r="K138" s="677"/>
      <c r="L138" s="677"/>
      <c r="M138" s="680"/>
      <c r="N138" s="37" t="s">
        <v>35</v>
      </c>
      <c r="O138" s="31"/>
      <c r="P138" s="31"/>
      <c r="Q138" s="32">
        <f t="shared" si="4"/>
        <v>0</v>
      </c>
    </row>
    <row r="139" spans="1:17" s="20" customFormat="1" ht="30" customHeight="1" x14ac:dyDescent="0.25">
      <c r="A139" s="89"/>
      <c r="B139" s="39" t="s">
        <v>684</v>
      </c>
      <c r="C139" s="46" t="s">
        <v>211</v>
      </c>
      <c r="D139" s="34" t="s">
        <v>524</v>
      </c>
      <c r="E139" s="35"/>
      <c r="F139" s="36"/>
      <c r="G139" s="36"/>
      <c r="H139" s="677" t="s">
        <v>523</v>
      </c>
      <c r="I139" s="677"/>
      <c r="J139" s="677"/>
      <c r="K139" s="677"/>
      <c r="L139" s="677"/>
      <c r="M139" s="680"/>
      <c r="N139" s="37" t="s">
        <v>35</v>
      </c>
      <c r="O139" s="31">
        <v>339.1</v>
      </c>
      <c r="P139" s="31"/>
      <c r="Q139" s="32">
        <f>+SUM(O139:P139)</f>
        <v>339.1</v>
      </c>
    </row>
    <row r="140" spans="1:17" s="20" customFormat="1" ht="30" customHeight="1" x14ac:dyDescent="0.25">
      <c r="A140" s="89"/>
      <c r="B140" s="33" t="s">
        <v>641</v>
      </c>
      <c r="C140" s="46"/>
      <c r="D140" s="34"/>
      <c r="E140" s="35"/>
      <c r="F140" s="36"/>
      <c r="G140" s="28" t="s">
        <v>249</v>
      </c>
      <c r="H140" s="81"/>
      <c r="I140" s="82"/>
      <c r="J140" s="82"/>
      <c r="K140" s="82"/>
      <c r="L140" s="82"/>
      <c r="M140" s="83"/>
      <c r="N140" s="37"/>
      <c r="O140" s="31"/>
      <c r="P140" s="31"/>
      <c r="Q140" s="32">
        <f t="shared" si="4"/>
        <v>0</v>
      </c>
    </row>
    <row r="141" spans="1:17" s="20" customFormat="1" ht="30" customHeight="1" x14ac:dyDescent="0.25">
      <c r="A141" s="89"/>
      <c r="B141" s="39" t="s">
        <v>642</v>
      </c>
      <c r="C141" s="46" t="s">
        <v>31</v>
      </c>
      <c r="D141" s="34">
        <v>98297</v>
      </c>
      <c r="E141" s="35"/>
      <c r="F141" s="36"/>
      <c r="G141" s="36"/>
      <c r="H141" s="677" t="s">
        <v>545</v>
      </c>
      <c r="I141" s="678"/>
      <c r="J141" s="678"/>
      <c r="K141" s="678"/>
      <c r="L141" s="678"/>
      <c r="M141" s="679"/>
      <c r="N141" s="37" t="s">
        <v>35</v>
      </c>
      <c r="O141" s="31">
        <v>17188</v>
      </c>
      <c r="P141" s="31"/>
      <c r="Q141" s="32">
        <f t="shared" si="4"/>
        <v>17188</v>
      </c>
    </row>
    <row r="142" spans="1:17" s="20" customFormat="1" ht="30" customHeight="1" x14ac:dyDescent="0.25">
      <c r="A142" s="89"/>
      <c r="B142" s="39" t="s">
        <v>643</v>
      </c>
      <c r="C142" s="46" t="s">
        <v>214</v>
      </c>
      <c r="D142" s="34" t="s">
        <v>547</v>
      </c>
      <c r="E142" s="35"/>
      <c r="F142" s="36"/>
      <c r="G142" s="36"/>
      <c r="H142" s="677" t="s">
        <v>546</v>
      </c>
      <c r="I142" s="678"/>
      <c r="J142" s="678"/>
      <c r="K142" s="678"/>
      <c r="L142" s="678"/>
      <c r="M142" s="679"/>
      <c r="N142" s="37" t="s">
        <v>35</v>
      </c>
      <c r="O142" s="31">
        <v>500</v>
      </c>
      <c r="P142" s="31"/>
      <c r="Q142" s="32">
        <f>+SUM(O142:P142)</f>
        <v>500</v>
      </c>
    </row>
    <row r="143" spans="1:17" s="20" customFormat="1" ht="30" customHeight="1" x14ac:dyDescent="0.25">
      <c r="A143" s="89"/>
      <c r="B143" s="33" t="s">
        <v>644</v>
      </c>
      <c r="C143" s="46"/>
      <c r="D143" s="34"/>
      <c r="E143" s="35"/>
      <c r="F143" s="36"/>
      <c r="G143" s="28" t="s">
        <v>248</v>
      </c>
      <c r="H143" s="81"/>
      <c r="I143" s="82"/>
      <c r="J143" s="82"/>
      <c r="K143" s="82"/>
      <c r="L143" s="82"/>
      <c r="M143" s="83"/>
      <c r="N143" s="37"/>
      <c r="O143" s="31"/>
      <c r="P143" s="31"/>
      <c r="Q143" s="32">
        <f t="shared" si="4"/>
        <v>0</v>
      </c>
    </row>
    <row r="144" spans="1:17" s="20" customFormat="1" ht="30" customHeight="1" x14ac:dyDescent="0.25">
      <c r="A144" s="89"/>
      <c r="B144" s="39" t="s">
        <v>645</v>
      </c>
      <c r="C144" s="46" t="s">
        <v>31</v>
      </c>
      <c r="D144" s="34">
        <v>98307</v>
      </c>
      <c r="E144" s="35"/>
      <c r="F144" s="36"/>
      <c r="G144" s="36"/>
      <c r="H144" s="677" t="s">
        <v>552</v>
      </c>
      <c r="I144" s="678"/>
      <c r="J144" s="678"/>
      <c r="K144" s="678"/>
      <c r="L144" s="678"/>
      <c r="M144" s="679"/>
      <c r="N144" s="37" t="s">
        <v>36</v>
      </c>
      <c r="O144" s="31">
        <v>14</v>
      </c>
      <c r="P144" s="31"/>
      <c r="Q144" s="32">
        <f t="shared" si="4"/>
        <v>14</v>
      </c>
    </row>
    <row r="145" spans="1:17" s="20" customFormat="1" ht="30" customHeight="1" x14ac:dyDescent="0.25">
      <c r="A145" s="89"/>
      <c r="B145" s="39" t="s">
        <v>646</v>
      </c>
      <c r="C145" s="46" t="s">
        <v>211</v>
      </c>
      <c r="D145" s="34" t="s">
        <v>554</v>
      </c>
      <c r="E145" s="35"/>
      <c r="F145" s="36"/>
      <c r="G145" s="36"/>
      <c r="H145" s="677" t="s">
        <v>553</v>
      </c>
      <c r="I145" s="678"/>
      <c r="J145" s="678"/>
      <c r="K145" s="678"/>
      <c r="L145" s="678"/>
      <c r="M145" s="679"/>
      <c r="N145" s="37" t="s">
        <v>36</v>
      </c>
      <c r="O145" s="31">
        <v>17</v>
      </c>
      <c r="P145" s="31"/>
      <c r="Q145" s="32">
        <f>+SUM(O145:P145)</f>
        <v>17</v>
      </c>
    </row>
    <row r="146" spans="1:17" s="20" customFormat="1" ht="30" customHeight="1" x14ac:dyDescent="0.25">
      <c r="A146" s="89"/>
      <c r="B146" s="39" t="s">
        <v>647</v>
      </c>
      <c r="C146" s="46" t="s">
        <v>211</v>
      </c>
      <c r="D146" s="34" t="s">
        <v>551</v>
      </c>
      <c r="E146" s="35"/>
      <c r="F146" s="36"/>
      <c r="G146" s="36"/>
      <c r="H146" s="677" t="s">
        <v>550</v>
      </c>
      <c r="I146" s="678"/>
      <c r="J146" s="678"/>
      <c r="K146" s="678"/>
      <c r="L146" s="678"/>
      <c r="M146" s="679"/>
      <c r="N146" s="37" t="s">
        <v>36</v>
      </c>
      <c r="O146" s="31">
        <v>718</v>
      </c>
      <c r="P146" s="31"/>
      <c r="Q146" s="32">
        <f t="shared" si="4"/>
        <v>718</v>
      </c>
    </row>
    <row r="147" spans="1:17" s="325" customFormat="1" ht="30" customHeight="1" x14ac:dyDescent="0.25">
      <c r="A147" s="324"/>
      <c r="B147" s="39" t="s">
        <v>648</v>
      </c>
      <c r="C147" s="46" t="s">
        <v>214</v>
      </c>
      <c r="D147" s="34" t="s">
        <v>285</v>
      </c>
      <c r="E147" s="35"/>
      <c r="F147" s="36"/>
      <c r="G147" s="36"/>
      <c r="H147" s="677" t="s">
        <v>284</v>
      </c>
      <c r="I147" s="677"/>
      <c r="J147" s="677"/>
      <c r="K147" s="677"/>
      <c r="L147" s="677"/>
      <c r="M147" s="680"/>
      <c r="N147" s="37" t="s">
        <v>36</v>
      </c>
      <c r="O147" s="31">
        <v>1</v>
      </c>
      <c r="P147" s="31"/>
      <c r="Q147" s="32">
        <f t="shared" si="4"/>
        <v>1</v>
      </c>
    </row>
    <row r="148" spans="1:17" s="325" customFormat="1" ht="30" customHeight="1" x14ac:dyDescent="0.25">
      <c r="A148" s="324"/>
      <c r="B148" s="39" t="s">
        <v>649</v>
      </c>
      <c r="C148" s="46" t="s">
        <v>211</v>
      </c>
      <c r="D148" s="34" t="s">
        <v>453</v>
      </c>
      <c r="E148" s="35"/>
      <c r="F148" s="36"/>
      <c r="G148" s="36"/>
      <c r="H148" s="677" t="s">
        <v>452</v>
      </c>
      <c r="I148" s="677"/>
      <c r="J148" s="677"/>
      <c r="K148" s="677"/>
      <c r="L148" s="677"/>
      <c r="M148" s="680"/>
      <c r="N148" s="37" t="s">
        <v>36</v>
      </c>
      <c r="O148" s="31">
        <v>48</v>
      </c>
      <c r="P148" s="31"/>
      <c r="Q148" s="32">
        <f t="shared" ref="Q148:Q154" si="5">+SUM(O148:P148)</f>
        <v>48</v>
      </c>
    </row>
    <row r="149" spans="1:17" s="325" customFormat="1" ht="30" customHeight="1" x14ac:dyDescent="0.25">
      <c r="A149" s="324"/>
      <c r="B149" s="39" t="s">
        <v>650</v>
      </c>
      <c r="C149" s="46" t="s">
        <v>211</v>
      </c>
      <c r="D149" s="34" t="s">
        <v>454</v>
      </c>
      <c r="E149" s="35"/>
      <c r="F149" s="36"/>
      <c r="G149" s="36"/>
      <c r="H149" s="677" t="s">
        <v>455</v>
      </c>
      <c r="I149" s="677"/>
      <c r="J149" s="677"/>
      <c r="K149" s="677"/>
      <c r="L149" s="677"/>
      <c r="M149" s="680"/>
      <c r="N149" s="37" t="s">
        <v>36</v>
      </c>
      <c r="O149" s="31">
        <f>414+26</f>
        <v>440</v>
      </c>
      <c r="P149" s="31"/>
      <c r="Q149" s="32">
        <f t="shared" si="5"/>
        <v>440</v>
      </c>
    </row>
    <row r="150" spans="1:17" s="325" customFormat="1" ht="30" customHeight="1" x14ac:dyDescent="0.25">
      <c r="A150" s="324"/>
      <c r="B150" s="39" t="s">
        <v>651</v>
      </c>
      <c r="C150" s="46" t="s">
        <v>211</v>
      </c>
      <c r="D150" s="34" t="s">
        <v>457</v>
      </c>
      <c r="E150" s="35"/>
      <c r="F150" s="36"/>
      <c r="G150" s="36"/>
      <c r="H150" s="677" t="s">
        <v>456</v>
      </c>
      <c r="I150" s="677"/>
      <c r="J150" s="677"/>
      <c r="K150" s="677"/>
      <c r="L150" s="677"/>
      <c r="M150" s="680"/>
      <c r="N150" s="37" t="s">
        <v>35</v>
      </c>
      <c r="O150" s="31">
        <f>+O137</f>
        <v>677.4</v>
      </c>
      <c r="P150" s="31"/>
      <c r="Q150" s="32">
        <f t="shared" si="5"/>
        <v>677.4</v>
      </c>
    </row>
    <row r="151" spans="1:17" s="325" customFormat="1" ht="30" customHeight="1" x14ac:dyDescent="0.25">
      <c r="A151" s="324"/>
      <c r="B151" s="39" t="s">
        <v>652</v>
      </c>
      <c r="C151" s="46" t="s">
        <v>211</v>
      </c>
      <c r="D151" s="34" t="s">
        <v>506</v>
      </c>
      <c r="E151" s="35"/>
      <c r="F151" s="36"/>
      <c r="G151" s="36"/>
      <c r="H151" s="677" t="s">
        <v>505</v>
      </c>
      <c r="I151" s="678"/>
      <c r="J151" s="678"/>
      <c r="K151" s="678"/>
      <c r="L151" s="678"/>
      <c r="M151" s="679"/>
      <c r="N151" s="37" t="s">
        <v>36</v>
      </c>
      <c r="O151" s="31"/>
      <c r="P151" s="31"/>
      <c r="Q151" s="32">
        <f t="shared" si="5"/>
        <v>0</v>
      </c>
    </row>
    <row r="152" spans="1:17" s="325" customFormat="1" ht="30" customHeight="1" x14ac:dyDescent="0.25">
      <c r="A152" s="324"/>
      <c r="B152" s="39" t="s">
        <v>653</v>
      </c>
      <c r="C152" s="46" t="s">
        <v>211</v>
      </c>
      <c r="D152" s="34" t="s">
        <v>510</v>
      </c>
      <c r="E152" s="35"/>
      <c r="F152" s="36"/>
      <c r="G152" s="36"/>
      <c r="H152" s="677" t="s">
        <v>509</v>
      </c>
      <c r="I152" s="678"/>
      <c r="J152" s="678"/>
      <c r="K152" s="678"/>
      <c r="L152" s="678"/>
      <c r="M152" s="679"/>
      <c r="N152" s="37" t="s">
        <v>36</v>
      </c>
      <c r="O152" s="31"/>
      <c r="P152" s="31"/>
      <c r="Q152" s="32">
        <f t="shared" si="5"/>
        <v>0</v>
      </c>
    </row>
    <row r="153" spans="1:17" s="325" customFormat="1" ht="30" customHeight="1" x14ac:dyDescent="0.25">
      <c r="A153" s="324"/>
      <c r="B153" s="39" t="s">
        <v>654</v>
      </c>
      <c r="C153" s="46" t="s">
        <v>211</v>
      </c>
      <c r="D153" s="34" t="s">
        <v>503</v>
      </c>
      <c r="E153" s="35"/>
      <c r="F153" s="36"/>
      <c r="G153" s="36"/>
      <c r="H153" s="677" t="s">
        <v>504</v>
      </c>
      <c r="I153" s="678"/>
      <c r="J153" s="678"/>
      <c r="K153" s="678"/>
      <c r="L153" s="678"/>
      <c r="M153" s="679"/>
      <c r="N153" s="37" t="s">
        <v>36</v>
      </c>
      <c r="O153" s="31"/>
      <c r="P153" s="31"/>
      <c r="Q153" s="32">
        <f t="shared" si="5"/>
        <v>0</v>
      </c>
    </row>
    <row r="154" spans="1:17" s="325" customFormat="1" ht="30" customHeight="1" x14ac:dyDescent="0.25">
      <c r="A154" s="324"/>
      <c r="B154" s="39" t="s">
        <v>655</v>
      </c>
      <c r="C154" s="46" t="s">
        <v>214</v>
      </c>
      <c r="D154" s="34" t="s">
        <v>287</v>
      </c>
      <c r="E154" s="35"/>
      <c r="F154" s="36"/>
      <c r="G154" s="36"/>
      <c r="H154" s="677" t="s">
        <v>286</v>
      </c>
      <c r="I154" s="678"/>
      <c r="J154" s="678"/>
      <c r="K154" s="678"/>
      <c r="L154" s="678"/>
      <c r="M154" s="679"/>
      <c r="N154" s="37" t="s">
        <v>36</v>
      </c>
      <c r="O154" s="31">
        <v>177</v>
      </c>
      <c r="P154" s="31"/>
      <c r="Q154" s="32">
        <f t="shared" si="5"/>
        <v>177</v>
      </c>
    </row>
    <row r="155" spans="1:17" s="325" customFormat="1" ht="30" customHeight="1" x14ac:dyDescent="0.25">
      <c r="A155" s="324"/>
      <c r="B155" s="39" t="s">
        <v>656</v>
      </c>
      <c r="C155" s="46" t="s">
        <v>31</v>
      </c>
      <c r="D155" s="34">
        <v>91940</v>
      </c>
      <c r="E155" s="35"/>
      <c r="F155" s="36"/>
      <c r="G155" s="36"/>
      <c r="H155" s="677" t="s">
        <v>282</v>
      </c>
      <c r="I155" s="678"/>
      <c r="J155" s="678"/>
      <c r="K155" s="678"/>
      <c r="L155" s="678"/>
      <c r="M155" s="679"/>
      <c r="N155" s="37" t="s">
        <v>36</v>
      </c>
      <c r="O155" s="31">
        <v>31</v>
      </c>
      <c r="P155" s="31"/>
      <c r="Q155" s="32">
        <v>591</v>
      </c>
    </row>
    <row r="156" spans="1:17" s="325" customFormat="1" ht="30" customHeight="1" x14ac:dyDescent="0.25">
      <c r="A156" s="324"/>
      <c r="B156" s="39" t="s">
        <v>657</v>
      </c>
      <c r="C156" s="46" t="s">
        <v>31</v>
      </c>
      <c r="D156" s="34">
        <v>95817</v>
      </c>
      <c r="E156" s="35"/>
      <c r="F156" s="36"/>
      <c r="G156" s="36"/>
      <c r="H156" s="677" t="s">
        <v>458</v>
      </c>
      <c r="I156" s="678"/>
      <c r="J156" s="678"/>
      <c r="K156" s="678"/>
      <c r="L156" s="678"/>
      <c r="M156" s="679"/>
      <c r="N156" s="37" t="s">
        <v>36</v>
      </c>
      <c r="O156" s="31">
        <v>4</v>
      </c>
      <c r="P156" s="31"/>
      <c r="Q156" s="32">
        <v>6</v>
      </c>
    </row>
    <row r="157" spans="1:17" s="20" customFormat="1" ht="30" customHeight="1" x14ac:dyDescent="0.25">
      <c r="A157" s="89"/>
      <c r="B157" s="39" t="s">
        <v>658</v>
      </c>
      <c r="C157" s="46" t="s">
        <v>31</v>
      </c>
      <c r="D157" s="34">
        <v>95789</v>
      </c>
      <c r="E157" s="35"/>
      <c r="F157" s="36"/>
      <c r="G157" s="36"/>
      <c r="H157" s="677" t="s">
        <v>548</v>
      </c>
      <c r="I157" s="678"/>
      <c r="J157" s="678"/>
      <c r="K157" s="678"/>
      <c r="L157" s="678"/>
      <c r="M157" s="679"/>
      <c r="N157" s="37" t="s">
        <v>36</v>
      </c>
      <c r="O157" s="31">
        <v>22</v>
      </c>
      <c r="P157" s="31"/>
      <c r="Q157" s="32">
        <f t="shared" si="4"/>
        <v>22</v>
      </c>
    </row>
    <row r="158" spans="1:17" s="20" customFormat="1" ht="30" customHeight="1" x14ac:dyDescent="0.25">
      <c r="A158" s="89"/>
      <c r="B158" s="39" t="s">
        <v>659</v>
      </c>
      <c r="C158" s="46" t="s">
        <v>31</v>
      </c>
      <c r="D158" s="34">
        <v>95796</v>
      </c>
      <c r="E158" s="35"/>
      <c r="F158" s="36"/>
      <c r="G158" s="36"/>
      <c r="H158" s="677" t="s">
        <v>549</v>
      </c>
      <c r="I158" s="678"/>
      <c r="J158" s="678"/>
      <c r="K158" s="678"/>
      <c r="L158" s="678"/>
      <c r="M158" s="679"/>
      <c r="N158" s="37" t="s">
        <v>36</v>
      </c>
      <c r="O158" s="31">
        <v>6</v>
      </c>
      <c r="P158" s="31"/>
      <c r="Q158" s="32">
        <f t="shared" si="4"/>
        <v>6</v>
      </c>
    </row>
    <row r="159" spans="1:17" s="325" customFormat="1" ht="30" customHeight="1" x14ac:dyDescent="0.25">
      <c r="A159" s="324"/>
      <c r="B159" s="39" t="s">
        <v>660</v>
      </c>
      <c r="C159" s="46" t="s">
        <v>211</v>
      </c>
      <c r="D159" s="34" t="s">
        <v>465</v>
      </c>
      <c r="E159" s="35"/>
      <c r="F159" s="36"/>
      <c r="G159" s="36"/>
      <c r="H159" s="677" t="s">
        <v>464</v>
      </c>
      <c r="I159" s="678"/>
      <c r="J159" s="678"/>
      <c r="K159" s="678"/>
      <c r="L159" s="678"/>
      <c r="M159" s="679"/>
      <c r="N159" s="37" t="s">
        <v>36</v>
      </c>
      <c r="O159" s="31">
        <v>820</v>
      </c>
      <c r="P159" s="31"/>
      <c r="Q159" s="32">
        <f t="shared" ref="Q159:Q183" si="6">+SUM(O159:P159)</f>
        <v>820</v>
      </c>
    </row>
    <row r="160" spans="1:17" s="325" customFormat="1" ht="30" customHeight="1" x14ac:dyDescent="0.25">
      <c r="A160" s="324"/>
      <c r="B160" s="39" t="s">
        <v>661</v>
      </c>
      <c r="C160" s="46" t="s">
        <v>211</v>
      </c>
      <c r="D160" s="34" t="s">
        <v>467</v>
      </c>
      <c r="E160" s="35"/>
      <c r="F160" s="36"/>
      <c r="G160" s="36"/>
      <c r="H160" s="677" t="s">
        <v>466</v>
      </c>
      <c r="I160" s="678"/>
      <c r="J160" s="678"/>
      <c r="K160" s="678"/>
      <c r="L160" s="678"/>
      <c r="M160" s="679"/>
      <c r="N160" s="37" t="s">
        <v>36</v>
      </c>
      <c r="O160" s="31">
        <v>2495</v>
      </c>
      <c r="P160" s="31"/>
      <c r="Q160" s="32">
        <f t="shared" si="6"/>
        <v>2495</v>
      </c>
    </row>
    <row r="161" spans="1:17" s="325" customFormat="1" ht="30" customHeight="1" x14ac:dyDescent="0.25">
      <c r="A161" s="324"/>
      <c r="B161" s="39" t="s">
        <v>662</v>
      </c>
      <c r="C161" s="46" t="s">
        <v>211</v>
      </c>
      <c r="D161" s="34" t="s">
        <v>473</v>
      </c>
      <c r="E161" s="35"/>
      <c r="F161" s="36"/>
      <c r="G161" s="36"/>
      <c r="H161" s="677" t="s">
        <v>472</v>
      </c>
      <c r="I161" s="678"/>
      <c r="J161" s="678"/>
      <c r="K161" s="678"/>
      <c r="L161" s="678"/>
      <c r="M161" s="679"/>
      <c r="N161" s="37" t="s">
        <v>36</v>
      </c>
      <c r="O161" s="31">
        <v>234</v>
      </c>
      <c r="P161" s="31"/>
      <c r="Q161" s="32">
        <f t="shared" si="6"/>
        <v>234</v>
      </c>
    </row>
    <row r="162" spans="1:17" s="325" customFormat="1" ht="30" customHeight="1" x14ac:dyDescent="0.25">
      <c r="A162" s="324"/>
      <c r="B162" s="39" t="s">
        <v>663</v>
      </c>
      <c r="C162" s="46" t="s">
        <v>211</v>
      </c>
      <c r="D162" s="34" t="s">
        <v>475</v>
      </c>
      <c r="E162" s="35"/>
      <c r="F162" s="36"/>
      <c r="G162" s="36"/>
      <c r="H162" s="677" t="s">
        <v>477</v>
      </c>
      <c r="I162" s="678"/>
      <c r="J162" s="678"/>
      <c r="K162" s="678"/>
      <c r="L162" s="678"/>
      <c r="M162" s="679"/>
      <c r="N162" s="37" t="s">
        <v>36</v>
      </c>
      <c r="O162" s="31">
        <v>120</v>
      </c>
      <c r="P162" s="31"/>
      <c r="Q162" s="32">
        <f t="shared" si="6"/>
        <v>120</v>
      </c>
    </row>
    <row r="163" spans="1:17" s="325" customFormat="1" ht="30" customHeight="1" x14ac:dyDescent="0.25">
      <c r="A163" s="324"/>
      <c r="B163" s="39" t="s">
        <v>664</v>
      </c>
      <c r="C163" s="46" t="s">
        <v>211</v>
      </c>
      <c r="D163" s="34" t="s">
        <v>482</v>
      </c>
      <c r="E163" s="35"/>
      <c r="F163" s="36"/>
      <c r="G163" s="36"/>
      <c r="H163" s="677" t="s">
        <v>485</v>
      </c>
      <c r="I163" s="678"/>
      <c r="J163" s="678"/>
      <c r="K163" s="678"/>
      <c r="L163" s="678"/>
      <c r="M163" s="679"/>
      <c r="N163" s="37" t="s">
        <v>36</v>
      </c>
      <c r="O163" s="31">
        <v>64</v>
      </c>
      <c r="P163" s="31"/>
      <c r="Q163" s="32">
        <f t="shared" si="6"/>
        <v>64</v>
      </c>
    </row>
    <row r="164" spans="1:17" s="325" customFormat="1" ht="30" customHeight="1" x14ac:dyDescent="0.25">
      <c r="A164" s="324"/>
      <c r="B164" s="39" t="s">
        <v>665</v>
      </c>
      <c r="C164" s="46" t="s">
        <v>31</v>
      </c>
      <c r="D164" s="34">
        <v>100556</v>
      </c>
      <c r="E164" s="35"/>
      <c r="F164" s="36"/>
      <c r="G164" s="36"/>
      <c r="H164" s="677" t="s">
        <v>555</v>
      </c>
      <c r="I164" s="678"/>
      <c r="J164" s="678"/>
      <c r="K164" s="678"/>
      <c r="L164" s="678"/>
      <c r="M164" s="679"/>
      <c r="N164" s="37" t="s">
        <v>36</v>
      </c>
      <c r="O164" s="31">
        <v>10</v>
      </c>
      <c r="P164" s="31"/>
      <c r="Q164" s="32">
        <f t="shared" si="6"/>
        <v>10</v>
      </c>
    </row>
    <row r="165" spans="1:17" s="325" customFormat="1" ht="30" customHeight="1" x14ac:dyDescent="0.25">
      <c r="A165" s="324"/>
      <c r="B165" s="39" t="s">
        <v>666</v>
      </c>
      <c r="C165" s="46" t="s">
        <v>211</v>
      </c>
      <c r="D165" s="34" t="s">
        <v>488</v>
      </c>
      <c r="E165" s="35"/>
      <c r="F165" s="36"/>
      <c r="G165" s="36"/>
      <c r="H165" s="677" t="s">
        <v>489</v>
      </c>
      <c r="I165" s="678"/>
      <c r="J165" s="678"/>
      <c r="K165" s="678"/>
      <c r="L165" s="678"/>
      <c r="M165" s="679"/>
      <c r="N165" s="37" t="s">
        <v>36</v>
      </c>
      <c r="O165" s="31">
        <v>1664</v>
      </c>
      <c r="P165" s="31"/>
      <c r="Q165" s="32">
        <f t="shared" si="6"/>
        <v>1664</v>
      </c>
    </row>
    <row r="166" spans="1:17" s="325" customFormat="1" ht="30" customHeight="1" x14ac:dyDescent="0.25">
      <c r="A166" s="324"/>
      <c r="B166" s="39" t="s">
        <v>667</v>
      </c>
      <c r="C166" s="46" t="s">
        <v>211</v>
      </c>
      <c r="D166" s="34" t="s">
        <v>491</v>
      </c>
      <c r="E166" s="35"/>
      <c r="F166" s="36"/>
      <c r="G166" s="36"/>
      <c r="H166" s="677" t="s">
        <v>490</v>
      </c>
      <c r="I166" s="678"/>
      <c r="J166" s="678"/>
      <c r="K166" s="678"/>
      <c r="L166" s="678"/>
      <c r="M166" s="679"/>
      <c r="N166" s="37" t="s">
        <v>36</v>
      </c>
      <c r="O166" s="31">
        <v>2487</v>
      </c>
      <c r="P166" s="31"/>
      <c r="Q166" s="32">
        <f t="shared" si="6"/>
        <v>2487</v>
      </c>
    </row>
    <row r="167" spans="1:17" s="325" customFormat="1" ht="30" customHeight="1" x14ac:dyDescent="0.25">
      <c r="A167" s="324"/>
      <c r="B167" s="39" t="s">
        <v>668</v>
      </c>
      <c r="C167" s="46" t="s">
        <v>211</v>
      </c>
      <c r="D167" s="34" t="s">
        <v>493</v>
      </c>
      <c r="E167" s="35"/>
      <c r="F167" s="36"/>
      <c r="G167" s="36"/>
      <c r="H167" s="677" t="s">
        <v>492</v>
      </c>
      <c r="I167" s="678"/>
      <c r="J167" s="678"/>
      <c r="K167" s="678"/>
      <c r="L167" s="678"/>
      <c r="M167" s="679"/>
      <c r="N167" s="37" t="s">
        <v>36</v>
      </c>
      <c r="O167" s="31">
        <v>820</v>
      </c>
      <c r="P167" s="31"/>
      <c r="Q167" s="32">
        <f t="shared" si="6"/>
        <v>820</v>
      </c>
    </row>
    <row r="168" spans="1:17" s="325" customFormat="1" ht="30" customHeight="1" x14ac:dyDescent="0.25">
      <c r="A168" s="324"/>
      <c r="B168" s="39" t="s">
        <v>669</v>
      </c>
      <c r="C168" s="46" t="s">
        <v>214</v>
      </c>
      <c r="D168" s="34" t="s">
        <v>479</v>
      </c>
      <c r="E168" s="35"/>
      <c r="F168" s="36"/>
      <c r="G168" s="36"/>
      <c r="H168" s="677" t="s">
        <v>478</v>
      </c>
      <c r="I168" s="678"/>
      <c r="J168" s="678"/>
      <c r="K168" s="678"/>
      <c r="L168" s="678"/>
      <c r="M168" s="679"/>
      <c r="N168" s="37" t="s">
        <v>35</v>
      </c>
      <c r="O168" s="31">
        <f>823*0.6</f>
        <v>493.79999999999995</v>
      </c>
      <c r="P168" s="31"/>
      <c r="Q168" s="32">
        <f t="shared" si="6"/>
        <v>493.79999999999995</v>
      </c>
    </row>
    <row r="169" spans="1:17" s="325" customFormat="1" ht="30" customHeight="1" x14ac:dyDescent="0.25">
      <c r="A169" s="324"/>
      <c r="B169" s="39" t="s">
        <v>670</v>
      </c>
      <c r="C169" s="46" t="s">
        <v>211</v>
      </c>
      <c r="D169" s="34" t="s">
        <v>522</v>
      </c>
      <c r="E169" s="35"/>
      <c r="F169" s="36"/>
      <c r="G169" s="36"/>
      <c r="H169" s="677" t="s">
        <v>521</v>
      </c>
      <c r="I169" s="678"/>
      <c r="J169" s="678"/>
      <c r="K169" s="678"/>
      <c r="L169" s="678"/>
      <c r="M169" s="679"/>
      <c r="N169" s="37" t="s">
        <v>36</v>
      </c>
      <c r="O169" s="31">
        <v>820</v>
      </c>
      <c r="P169" s="31"/>
      <c r="Q169" s="32">
        <f t="shared" si="6"/>
        <v>820</v>
      </c>
    </row>
    <row r="170" spans="1:17" s="325" customFormat="1" ht="30" customHeight="1" x14ac:dyDescent="0.25">
      <c r="A170" s="324"/>
      <c r="B170" s="39" t="s">
        <v>671</v>
      </c>
      <c r="C170" s="46" t="s">
        <v>214</v>
      </c>
      <c r="D170" s="34" t="s">
        <v>683</v>
      </c>
      <c r="E170" s="35"/>
      <c r="F170" s="36"/>
      <c r="G170" s="36"/>
      <c r="H170" s="677" t="s">
        <v>682</v>
      </c>
      <c r="I170" s="678"/>
      <c r="J170" s="678"/>
      <c r="K170" s="678"/>
      <c r="L170" s="678"/>
      <c r="M170" s="679"/>
      <c r="N170" s="37" t="s">
        <v>36</v>
      </c>
      <c r="O170" s="31">
        <v>1</v>
      </c>
      <c r="P170" s="31"/>
      <c r="Q170" s="32">
        <f t="shared" si="6"/>
        <v>1</v>
      </c>
    </row>
    <row r="171" spans="1:17" s="325" customFormat="1" ht="30" customHeight="1" x14ac:dyDescent="0.25">
      <c r="A171" s="324"/>
      <c r="B171" s="39" t="s">
        <v>672</v>
      </c>
      <c r="C171" s="46" t="s">
        <v>214</v>
      </c>
      <c r="D171" s="34" t="s">
        <v>559</v>
      </c>
      <c r="E171" s="35"/>
      <c r="F171" s="36"/>
      <c r="G171" s="36"/>
      <c r="H171" s="677" t="s">
        <v>558</v>
      </c>
      <c r="I171" s="678"/>
      <c r="J171" s="678"/>
      <c r="K171" s="678"/>
      <c r="L171" s="678"/>
      <c r="M171" s="679"/>
      <c r="N171" s="37" t="s">
        <v>36</v>
      </c>
      <c r="O171" s="31">
        <v>9</v>
      </c>
      <c r="P171" s="31"/>
      <c r="Q171" s="32">
        <f t="shared" si="6"/>
        <v>9</v>
      </c>
    </row>
    <row r="172" spans="1:17" s="325" customFormat="1" ht="30" customHeight="1" x14ac:dyDescent="0.25">
      <c r="A172" s="324"/>
      <c r="B172" s="39" t="s">
        <v>673</v>
      </c>
      <c r="C172" s="46" t="s">
        <v>214</v>
      </c>
      <c r="D172" s="34" t="s">
        <v>560</v>
      </c>
      <c r="E172" s="35"/>
      <c r="F172" s="36"/>
      <c r="G172" s="36"/>
      <c r="H172" s="677" t="s">
        <v>561</v>
      </c>
      <c r="I172" s="678"/>
      <c r="J172" s="678"/>
      <c r="K172" s="678"/>
      <c r="L172" s="678"/>
      <c r="M172" s="679"/>
      <c r="N172" s="37" t="s">
        <v>36</v>
      </c>
      <c r="O172" s="31">
        <v>1</v>
      </c>
      <c r="P172" s="31"/>
      <c r="Q172" s="32">
        <f t="shared" si="6"/>
        <v>1</v>
      </c>
    </row>
    <row r="173" spans="1:17" s="325" customFormat="1" ht="30" customHeight="1" x14ac:dyDescent="0.25">
      <c r="A173" s="324"/>
      <c r="B173" s="39" t="s">
        <v>674</v>
      </c>
      <c r="C173" s="46" t="s">
        <v>211</v>
      </c>
      <c r="D173" s="34" t="s">
        <v>557</v>
      </c>
      <c r="E173" s="35"/>
      <c r="F173" s="36"/>
      <c r="G173" s="36"/>
      <c r="H173" s="677" t="s">
        <v>556</v>
      </c>
      <c r="I173" s="678"/>
      <c r="J173" s="678"/>
      <c r="K173" s="678"/>
      <c r="L173" s="678"/>
      <c r="M173" s="679"/>
      <c r="N173" s="37" t="s">
        <v>36</v>
      </c>
      <c r="O173" s="31">
        <v>4</v>
      </c>
      <c r="P173" s="31"/>
      <c r="Q173" s="32">
        <f t="shared" si="6"/>
        <v>4</v>
      </c>
    </row>
    <row r="174" spans="1:17" s="325" customFormat="1" ht="30" customHeight="1" x14ac:dyDescent="0.25">
      <c r="A174" s="324"/>
      <c r="B174" s="39" t="s">
        <v>675</v>
      </c>
      <c r="C174" s="46" t="s">
        <v>211</v>
      </c>
      <c r="D174" s="34" t="s">
        <v>563</v>
      </c>
      <c r="E174" s="35"/>
      <c r="F174" s="36"/>
      <c r="G174" s="36"/>
      <c r="H174" s="677" t="s">
        <v>562</v>
      </c>
      <c r="I174" s="678"/>
      <c r="J174" s="678"/>
      <c r="K174" s="678"/>
      <c r="L174" s="678"/>
      <c r="M174" s="679"/>
      <c r="N174" s="37" t="s">
        <v>36</v>
      </c>
      <c r="O174" s="31">
        <f>SUM(O170:O173)</f>
        <v>15</v>
      </c>
      <c r="P174" s="31"/>
      <c r="Q174" s="32">
        <f t="shared" si="6"/>
        <v>15</v>
      </c>
    </row>
    <row r="175" spans="1:17" s="325" customFormat="1" ht="30" customHeight="1" x14ac:dyDescent="0.25">
      <c r="A175" s="324"/>
      <c r="B175" s="39" t="s">
        <v>676</v>
      </c>
      <c r="C175" s="46" t="s">
        <v>214</v>
      </c>
      <c r="D175" s="34" t="s">
        <v>565</v>
      </c>
      <c r="E175" s="35"/>
      <c r="F175" s="36"/>
      <c r="G175" s="36"/>
      <c r="H175" s="677" t="s">
        <v>564</v>
      </c>
      <c r="I175" s="678"/>
      <c r="J175" s="678"/>
      <c r="K175" s="678"/>
      <c r="L175" s="678"/>
      <c r="M175" s="679"/>
      <c r="N175" s="37" t="s">
        <v>36</v>
      </c>
      <c r="O175" s="31">
        <f>+O174</f>
        <v>15</v>
      </c>
      <c r="P175" s="31"/>
      <c r="Q175" s="32">
        <f t="shared" si="6"/>
        <v>15</v>
      </c>
    </row>
    <row r="176" spans="1:17" s="325" customFormat="1" ht="30" customHeight="1" x14ac:dyDescent="0.25">
      <c r="A176" s="324"/>
      <c r="B176" s="39" t="s">
        <v>677</v>
      </c>
      <c r="C176" s="46" t="s">
        <v>214</v>
      </c>
      <c r="D176" s="34" t="s">
        <v>567</v>
      </c>
      <c r="E176" s="35"/>
      <c r="F176" s="36"/>
      <c r="G176" s="36"/>
      <c r="H176" s="677" t="s">
        <v>566</v>
      </c>
      <c r="I176" s="678"/>
      <c r="J176" s="678"/>
      <c r="K176" s="678"/>
      <c r="L176" s="678"/>
      <c r="M176" s="679"/>
      <c r="N176" s="37" t="s">
        <v>36</v>
      </c>
      <c r="O176" s="31">
        <f>+O170*12+O171*8+O172*4+O173*3</f>
        <v>100</v>
      </c>
      <c r="P176" s="31"/>
      <c r="Q176" s="32">
        <f t="shared" si="6"/>
        <v>100</v>
      </c>
    </row>
    <row r="177" spans="1:17" s="325" customFormat="1" ht="30" customHeight="1" x14ac:dyDescent="0.25">
      <c r="A177" s="324"/>
      <c r="B177" s="39" t="s">
        <v>678</v>
      </c>
      <c r="C177" s="46" t="s">
        <v>31</v>
      </c>
      <c r="D177" s="34">
        <v>98302</v>
      </c>
      <c r="E177" s="35"/>
      <c r="F177" s="36"/>
      <c r="G177" s="36"/>
      <c r="H177" s="677" t="s">
        <v>568</v>
      </c>
      <c r="I177" s="678"/>
      <c r="J177" s="678"/>
      <c r="K177" s="678"/>
      <c r="L177" s="678"/>
      <c r="M177" s="679"/>
      <c r="N177" s="37" t="s">
        <v>36</v>
      </c>
      <c r="O177" s="31">
        <f>12+6*9+3+2*4</f>
        <v>77</v>
      </c>
      <c r="P177" s="31"/>
      <c r="Q177" s="32">
        <f t="shared" si="6"/>
        <v>77</v>
      </c>
    </row>
    <row r="178" spans="1:17" s="325" customFormat="1" ht="30" customHeight="1" x14ac:dyDescent="0.25">
      <c r="A178" s="324"/>
      <c r="B178" s="39" t="s">
        <v>679</v>
      </c>
      <c r="C178" s="46" t="s">
        <v>214</v>
      </c>
      <c r="D178" s="34" t="s">
        <v>570</v>
      </c>
      <c r="E178" s="35"/>
      <c r="F178" s="36"/>
      <c r="G178" s="36"/>
      <c r="H178" s="677" t="s">
        <v>569</v>
      </c>
      <c r="I178" s="678"/>
      <c r="J178" s="678"/>
      <c r="K178" s="678"/>
      <c r="L178" s="678"/>
      <c r="M178" s="679"/>
      <c r="N178" s="37" t="s">
        <v>36</v>
      </c>
      <c r="O178" s="31">
        <f>1*4+1+9+1</f>
        <v>15</v>
      </c>
      <c r="P178" s="31"/>
      <c r="Q178" s="32">
        <f t="shared" si="6"/>
        <v>15</v>
      </c>
    </row>
    <row r="179" spans="1:17" s="325" customFormat="1" ht="30" customHeight="1" x14ac:dyDescent="0.25">
      <c r="A179" s="324"/>
      <c r="B179" s="39" t="s">
        <v>680</v>
      </c>
      <c r="C179" s="46" t="s">
        <v>211</v>
      </c>
      <c r="D179" s="34" t="s">
        <v>572</v>
      </c>
      <c r="E179" s="35"/>
      <c r="F179" s="36"/>
      <c r="G179" s="36"/>
      <c r="H179" s="677" t="s">
        <v>571</v>
      </c>
      <c r="I179" s="678"/>
      <c r="J179" s="678"/>
      <c r="K179" s="678"/>
      <c r="L179" s="678"/>
      <c r="M179" s="679"/>
      <c r="N179" s="37" t="s">
        <v>36</v>
      </c>
      <c r="O179" s="31">
        <f>3+18+1+4</f>
        <v>26</v>
      </c>
      <c r="P179" s="31"/>
      <c r="Q179" s="32">
        <f t="shared" si="6"/>
        <v>26</v>
      </c>
    </row>
    <row r="180" spans="1:17" s="325" customFormat="1" ht="30" customHeight="1" x14ac:dyDescent="0.25">
      <c r="A180" s="324"/>
      <c r="B180" s="39" t="s">
        <v>681</v>
      </c>
      <c r="C180" s="46" t="s">
        <v>214</v>
      </c>
      <c r="D180" s="34" t="s">
        <v>574</v>
      </c>
      <c r="E180" s="35"/>
      <c r="F180" s="36"/>
      <c r="G180" s="36"/>
      <c r="H180" s="677" t="s">
        <v>573</v>
      </c>
      <c r="I180" s="678"/>
      <c r="J180" s="678"/>
      <c r="K180" s="678"/>
      <c r="L180" s="678"/>
      <c r="M180" s="679"/>
      <c r="N180" s="37" t="s">
        <v>36</v>
      </c>
      <c r="O180" s="31">
        <v>15</v>
      </c>
      <c r="P180" s="31"/>
      <c r="Q180" s="32">
        <f t="shared" si="6"/>
        <v>15</v>
      </c>
    </row>
    <row r="181" spans="1:17" s="325" customFormat="1" ht="30" customHeight="1" x14ac:dyDescent="0.25">
      <c r="A181" s="324"/>
      <c r="B181" s="39" t="s">
        <v>685</v>
      </c>
      <c r="C181" s="46" t="s">
        <v>211</v>
      </c>
      <c r="D181" s="34" t="s">
        <v>576</v>
      </c>
      <c r="E181" s="35"/>
      <c r="F181" s="36"/>
      <c r="G181" s="36"/>
      <c r="H181" s="677" t="s">
        <v>575</v>
      </c>
      <c r="I181" s="678"/>
      <c r="J181" s="678"/>
      <c r="K181" s="678"/>
      <c r="L181" s="678"/>
      <c r="M181" s="679"/>
      <c r="N181" s="37" t="s">
        <v>36</v>
      </c>
      <c r="O181" s="31">
        <f>72*2+78*2*9+24*2*1+12*2*4</f>
        <v>1692</v>
      </c>
      <c r="P181" s="31"/>
      <c r="Q181" s="32">
        <f t="shared" si="6"/>
        <v>1692</v>
      </c>
    </row>
    <row r="182" spans="1:17" s="325" customFormat="1" ht="30" customHeight="1" x14ac:dyDescent="0.25">
      <c r="A182" s="324"/>
      <c r="B182" s="39" t="s">
        <v>686</v>
      </c>
      <c r="C182" s="46" t="s">
        <v>211</v>
      </c>
      <c r="D182" s="34" t="s">
        <v>578</v>
      </c>
      <c r="E182" s="35"/>
      <c r="F182" s="36"/>
      <c r="G182" s="36"/>
      <c r="H182" s="677" t="s">
        <v>577</v>
      </c>
      <c r="I182" s="678"/>
      <c r="J182" s="678"/>
      <c r="K182" s="678"/>
      <c r="L182" s="678"/>
      <c r="M182" s="679"/>
      <c r="N182" s="37" t="s">
        <v>36</v>
      </c>
      <c r="O182" s="31">
        <v>1532</v>
      </c>
      <c r="P182" s="31"/>
      <c r="Q182" s="32">
        <f t="shared" si="6"/>
        <v>1532</v>
      </c>
    </row>
    <row r="183" spans="1:17" s="325" customFormat="1" ht="30" customHeight="1" thickBot="1" x14ac:dyDescent="0.3">
      <c r="A183" s="324"/>
      <c r="B183" s="151" t="s">
        <v>687</v>
      </c>
      <c r="C183" s="152" t="s">
        <v>214</v>
      </c>
      <c r="D183" s="153" t="s">
        <v>580</v>
      </c>
      <c r="E183" s="47"/>
      <c r="F183" s="48"/>
      <c r="G183" s="48"/>
      <c r="H183" s="690" t="s">
        <v>579</v>
      </c>
      <c r="I183" s="691"/>
      <c r="J183" s="691"/>
      <c r="K183" s="691"/>
      <c r="L183" s="691"/>
      <c r="M183" s="692"/>
      <c r="N183" s="49" t="s">
        <v>36</v>
      </c>
      <c r="O183" s="50">
        <v>1532</v>
      </c>
      <c r="P183" s="50"/>
      <c r="Q183" s="51">
        <f t="shared" si="6"/>
        <v>1532</v>
      </c>
    </row>
  </sheetData>
  <mergeCells count="157">
    <mergeCell ref="H180:M180"/>
    <mergeCell ref="H181:M181"/>
    <mergeCell ref="H182:M182"/>
    <mergeCell ref="H183:M183"/>
    <mergeCell ref="H172:M172"/>
    <mergeCell ref="H152:M152"/>
    <mergeCell ref="H153:M153"/>
    <mergeCell ref="H162:M162"/>
    <mergeCell ref="H164:M164"/>
    <mergeCell ref="H166:M166"/>
    <mergeCell ref="H167:M167"/>
    <mergeCell ref="H177:M177"/>
    <mergeCell ref="H156:M156"/>
    <mergeCell ref="H157:M157"/>
    <mergeCell ref="H158:M158"/>
    <mergeCell ref="H169:M169"/>
    <mergeCell ref="H163:M163"/>
    <mergeCell ref="H161:M161"/>
    <mergeCell ref="H165:M165"/>
    <mergeCell ref="H179:M179"/>
    <mergeCell ref="H137:M137"/>
    <mergeCell ref="H139:M139"/>
    <mergeCell ref="H170:M170"/>
    <mergeCell ref="H136:M136"/>
    <mergeCell ref="H141:M141"/>
    <mergeCell ref="H55:M55"/>
    <mergeCell ref="H149:M149"/>
    <mergeCell ref="H150:M150"/>
    <mergeCell ref="H154:M154"/>
    <mergeCell ref="H93:M93"/>
    <mergeCell ref="H94:M94"/>
    <mergeCell ref="H95:M95"/>
    <mergeCell ref="H92:M92"/>
    <mergeCell ref="H122:M122"/>
    <mergeCell ref="H123:M123"/>
    <mergeCell ref="H124:M124"/>
    <mergeCell ref="H125:M125"/>
    <mergeCell ref="H126:M126"/>
    <mergeCell ref="H107:M107"/>
    <mergeCell ref="H121:M121"/>
    <mergeCell ref="H108:M108"/>
    <mergeCell ref="H120:M120"/>
    <mergeCell ref="H131:M131"/>
    <mergeCell ref="H132:M132"/>
    <mergeCell ref="H142:M142"/>
    <mergeCell ref="H127:M127"/>
    <mergeCell ref="H128:M128"/>
    <mergeCell ref="H138:M138"/>
    <mergeCell ref="H178:M178"/>
    <mergeCell ref="H168:M168"/>
    <mergeCell ref="H171:M171"/>
    <mergeCell ref="H173:M173"/>
    <mergeCell ref="H63:M63"/>
    <mergeCell ref="H74:M74"/>
    <mergeCell ref="H75:M75"/>
    <mergeCell ref="H77:M77"/>
    <mergeCell ref="H175:M175"/>
    <mergeCell ref="H176:M176"/>
    <mergeCell ref="H155:M155"/>
    <mergeCell ref="H145:M145"/>
    <mergeCell ref="H151:M151"/>
    <mergeCell ref="H147:M147"/>
    <mergeCell ref="H148:M148"/>
    <mergeCell ref="H159:M159"/>
    <mergeCell ref="H160:M160"/>
    <mergeCell ref="H64:M64"/>
    <mergeCell ref="H65:M65"/>
    <mergeCell ref="H174:M174"/>
    <mergeCell ref="H144:M144"/>
    <mergeCell ref="H146:M146"/>
    <mergeCell ref="H118:M118"/>
    <mergeCell ref="H117:M117"/>
    <mergeCell ref="H83:M83"/>
    <mergeCell ref="H84:M84"/>
    <mergeCell ref="H103:M103"/>
    <mergeCell ref="H59:M59"/>
    <mergeCell ref="H60:M60"/>
    <mergeCell ref="H61:M61"/>
    <mergeCell ref="H62:M62"/>
    <mergeCell ref="H66:M66"/>
    <mergeCell ref="H104:M104"/>
    <mergeCell ref="H105:M105"/>
    <mergeCell ref="H102:M102"/>
    <mergeCell ref="H106:M106"/>
    <mergeCell ref="H96:M96"/>
    <mergeCell ref="H97:M97"/>
    <mergeCell ref="H98:M98"/>
    <mergeCell ref="H99:M99"/>
    <mergeCell ref="H67:M67"/>
    <mergeCell ref="H69:M69"/>
    <mergeCell ref="H70:M70"/>
    <mergeCell ref="H115:M115"/>
    <mergeCell ref="H119:M119"/>
    <mergeCell ref="B1:Q6"/>
    <mergeCell ref="H17:M17"/>
    <mergeCell ref="C14:C15"/>
    <mergeCell ref="B14:B15"/>
    <mergeCell ref="E14:M15"/>
    <mergeCell ref="N14:N15"/>
    <mergeCell ref="D14:D15"/>
    <mergeCell ref="Q14:Q15"/>
    <mergeCell ref="P14:P15"/>
    <mergeCell ref="O14:O15"/>
    <mergeCell ref="H19:M19"/>
    <mergeCell ref="H24:M24"/>
    <mergeCell ref="H26:M26"/>
    <mergeCell ref="H30:M30"/>
    <mergeCell ref="H25:M25"/>
    <mergeCell ref="H90:M90"/>
    <mergeCell ref="H101:M101"/>
    <mergeCell ref="H80:M80"/>
    <mergeCell ref="H18:M18"/>
    <mergeCell ref="H22:M22"/>
    <mergeCell ref="H23:M23"/>
    <mergeCell ref="H29:M29"/>
    <mergeCell ref="H49:M49"/>
    <mergeCell ref="H41:M41"/>
    <mergeCell ref="H37:M37"/>
    <mergeCell ref="H46:M46"/>
    <mergeCell ref="H45:M45"/>
    <mergeCell ref="H116:M116"/>
    <mergeCell ref="H109:M109"/>
    <mergeCell ref="H110:M110"/>
    <mergeCell ref="H111:M111"/>
    <mergeCell ref="H112:M112"/>
    <mergeCell ref="H51:M51"/>
    <mergeCell ref="H52:M52"/>
    <mergeCell ref="H54:M54"/>
    <mergeCell ref="H56:M56"/>
    <mergeCell ref="H53:M53"/>
    <mergeCell ref="H50:M50"/>
    <mergeCell ref="H48:M48"/>
    <mergeCell ref="H58:M58"/>
    <mergeCell ref="H129:M129"/>
    <mergeCell ref="H81:M81"/>
    <mergeCell ref="H82:M82"/>
    <mergeCell ref="H42:M42"/>
    <mergeCell ref="H113:M113"/>
    <mergeCell ref="H114:M114"/>
    <mergeCell ref="H33:M33"/>
    <mergeCell ref="H43:M43"/>
    <mergeCell ref="H44:M44"/>
    <mergeCell ref="H78:M78"/>
    <mergeCell ref="H100:M100"/>
    <mergeCell ref="H71:M71"/>
    <mergeCell ref="H72:M72"/>
    <mergeCell ref="H73:M73"/>
    <mergeCell ref="H68:M68"/>
    <mergeCell ref="H76:M76"/>
    <mergeCell ref="H91:M91"/>
    <mergeCell ref="H85:M85"/>
    <mergeCell ref="H86:M86"/>
    <mergeCell ref="H87:M87"/>
    <mergeCell ref="H89:M89"/>
    <mergeCell ref="H38:M38"/>
    <mergeCell ref="H39:M39"/>
    <mergeCell ref="H40:M40"/>
  </mergeCells>
  <phoneticPr fontId="63" type="noConversion"/>
  <printOptions horizontalCentered="1"/>
  <pageMargins left="0.39370078740157483" right="0.39370078740157483" top="0.78740157480314965" bottom="0.98425196850393704" header="0.31496062992125984" footer="0.31496062992125984"/>
  <pageSetup paperSize="9" scale="48" orientation="portrait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tabColor theme="6"/>
  </sheetPr>
  <dimension ref="A1:P33"/>
  <sheetViews>
    <sheetView showGridLines="0" showZeros="0" view="pageBreakPreview" zoomScaleNormal="100" zoomScaleSheetLayoutView="100" workbookViewId="0">
      <selection activeCell="Q53" sqref="Q53"/>
    </sheetView>
  </sheetViews>
  <sheetFormatPr defaultColWidth="16" defaultRowHeight="12.75" x14ac:dyDescent="0.25"/>
  <cols>
    <col min="1" max="1" width="1.5703125" style="103" customWidth="1"/>
    <col min="2" max="2" width="7.42578125" style="85" customWidth="1"/>
    <col min="3" max="3" width="54.42578125" style="103" customWidth="1"/>
    <col min="4" max="4" width="7.42578125" style="103" customWidth="1"/>
    <col min="5" max="10" width="14.5703125" style="85" customWidth="1"/>
    <col min="11" max="11" width="9.140625" style="85" customWidth="1"/>
    <col min="12" max="12" width="1.5703125" style="85" customWidth="1"/>
    <col min="13" max="16384" width="16" style="85"/>
  </cols>
  <sheetData>
    <row r="1" spans="1:16" s="21" customFormat="1" ht="9.9499999999999993" customHeight="1" x14ac:dyDescent="0.25">
      <c r="B1" s="468" t="s">
        <v>337</v>
      </c>
      <c r="C1" s="469"/>
      <c r="D1" s="469"/>
      <c r="E1" s="469"/>
      <c r="F1" s="469"/>
      <c r="G1" s="469"/>
      <c r="H1" s="469"/>
      <c r="I1" s="469"/>
      <c r="J1" s="469"/>
      <c r="K1" s="469"/>
    </row>
    <row r="2" spans="1:16" s="21" customFormat="1" ht="9.9499999999999993" customHeight="1" x14ac:dyDescent="0.25">
      <c r="B2" s="469"/>
      <c r="C2" s="469"/>
      <c r="D2" s="469"/>
      <c r="E2" s="469"/>
      <c r="F2" s="469"/>
      <c r="G2" s="469"/>
      <c r="H2" s="469"/>
      <c r="I2" s="469"/>
      <c r="J2" s="469"/>
      <c r="K2" s="469"/>
    </row>
    <row r="3" spans="1:16" s="21" customFormat="1" ht="9.9499999999999993" customHeight="1" x14ac:dyDescent="0.25">
      <c r="B3" s="469"/>
      <c r="C3" s="469"/>
      <c r="D3" s="469"/>
      <c r="E3" s="469"/>
      <c r="F3" s="469"/>
      <c r="G3" s="469"/>
      <c r="H3" s="469"/>
      <c r="I3" s="469"/>
      <c r="J3" s="469"/>
      <c r="K3" s="469"/>
    </row>
    <row r="4" spans="1:16" s="21" customFormat="1" ht="9.9499999999999993" customHeight="1" x14ac:dyDescent="0.25">
      <c r="B4" s="469"/>
      <c r="C4" s="469"/>
      <c r="D4" s="469"/>
      <c r="E4" s="469"/>
      <c r="F4" s="469"/>
      <c r="G4" s="469"/>
      <c r="H4" s="469"/>
      <c r="I4" s="469"/>
      <c r="J4" s="469"/>
      <c r="K4" s="469"/>
    </row>
    <row r="5" spans="1:16" s="21" customFormat="1" ht="9.9499999999999993" customHeight="1" x14ac:dyDescent="0.25">
      <c r="B5" s="469"/>
      <c r="C5" s="469"/>
      <c r="D5" s="469"/>
      <c r="E5" s="469"/>
      <c r="F5" s="469"/>
      <c r="G5" s="469"/>
      <c r="H5" s="469"/>
      <c r="I5" s="469"/>
      <c r="J5" s="469"/>
      <c r="K5" s="469"/>
    </row>
    <row r="6" spans="1:16" s="21" customFormat="1" ht="9.9499999999999993" customHeight="1" x14ac:dyDescent="0.25">
      <c r="B6" s="469"/>
      <c r="C6" s="469"/>
      <c r="D6" s="469"/>
      <c r="E6" s="469"/>
      <c r="F6" s="469"/>
      <c r="G6" s="469"/>
      <c r="H6" s="469"/>
      <c r="I6" s="469"/>
      <c r="J6" s="469"/>
      <c r="K6" s="469"/>
    </row>
    <row r="7" spans="1:16" s="21" customFormat="1" x14ac:dyDescent="0.25"/>
    <row r="8" spans="1:16" s="12" customFormat="1" ht="15" customHeight="1" x14ac:dyDescent="0.25">
      <c r="B8" s="8" t="s">
        <v>50</v>
      </c>
      <c r="C8" s="9" t="str">
        <f>'DADOS DA OBRA'!$B$13</f>
        <v>TRIBUNAL REGIONAL ELEITORAL - PIAUÍ</v>
      </c>
      <c r="D8" s="9"/>
      <c r="E8" s="9"/>
      <c r="G8" s="10" t="s">
        <v>146</v>
      </c>
      <c r="H8" s="11" t="str">
        <f>+'DADOS DA OBRA'!$N$25</f>
        <v>22/11/2021</v>
      </c>
      <c r="J8" s="10" t="s">
        <v>71</v>
      </c>
      <c r="K8" s="52">
        <f>+'DADOS DA OBRA'!$J$25</f>
        <v>1.1186</v>
      </c>
      <c r="M8" s="71"/>
      <c r="N8" s="71"/>
      <c r="O8" s="72"/>
      <c r="P8" s="72"/>
    </row>
    <row r="9" spans="1:16" s="12" customFormat="1" ht="15" customHeight="1" x14ac:dyDescent="0.25">
      <c r="B9" s="8" t="s">
        <v>69</v>
      </c>
      <c r="C9" s="9" t="str">
        <f>'DADOS DA OBRA'!$B$16</f>
        <v>ADEQUAÇÃO DE INSTALAÇÕES ELÉTRICAS E CABEAMENTO ESTRUTURADO - EDIFÍCIO SEDE</v>
      </c>
      <c r="D9" s="9"/>
      <c r="G9" s="10" t="s">
        <v>52</v>
      </c>
      <c r="H9" s="11">
        <v>44733</v>
      </c>
      <c r="J9" s="10" t="s">
        <v>72</v>
      </c>
      <c r="K9" s="52">
        <f>+'DADOS DA OBRA'!$J$28</f>
        <v>0.70630000000000004</v>
      </c>
    </row>
    <row r="10" spans="1:16" s="12" customFormat="1" ht="15" customHeight="1" x14ac:dyDescent="0.25">
      <c r="B10" s="8" t="s">
        <v>53</v>
      </c>
      <c r="C10" s="9" t="str">
        <f>+""&amp;'DADOS DA OBRA'!$B$19&amp;", "&amp;'DADOS DA OBRA'!$J$22&amp;", "&amp;'DADOS DA OBRA'!$P$22</f>
        <v>PRAÇA EDGAR NOGUEIRA, TERESINA, PI</v>
      </c>
      <c r="G10" s="10" t="s">
        <v>147</v>
      </c>
      <c r="H10" s="11" t="str">
        <f>+'DADOS DA OBRA'!$B$28</f>
        <v>05 MESES</v>
      </c>
      <c r="J10" s="10" t="s">
        <v>140</v>
      </c>
      <c r="K10" s="52">
        <f>+'DADOS DA OBRA'!$F$25</f>
        <v>0.21960000000000002</v>
      </c>
    </row>
    <row r="11" spans="1:16" s="12" customFormat="1" ht="42" customHeight="1" x14ac:dyDescent="0.25">
      <c r="B11" s="8" t="s">
        <v>70</v>
      </c>
      <c r="C11" s="480" t="str">
        <f>+'DADOS DA OBRA'!$B$31</f>
        <v>SINAPI - 04/2022 - PIAUÍ   	SBC - 05/2022 - TSA - Teresina - PI  ORSE - 03/2022 - SERGIPE      ETOP - 03/2022 - Minas Gerais - Central SUDECAP - 02/2022 - MINAS GERAIS    CPOS - 02/2022 - São Paulo AGESUL - 01/2022 - MATO GROSSO DO SUL     GETOP CIVIL - 04/2022 - Goiás EMOP - 04/2022 - RIO DE JANEIRO</v>
      </c>
      <c r="D11" s="480"/>
      <c r="E11" s="480"/>
      <c r="F11" s="480"/>
      <c r="G11" s="480"/>
      <c r="H11" s="480"/>
      <c r="I11" s="443"/>
      <c r="J11" s="10" t="s">
        <v>141</v>
      </c>
      <c r="K11" s="52">
        <f>+'DADOS DA OBRA'!$F$28</f>
        <v>0.1527</v>
      </c>
    </row>
    <row r="12" spans="1:16" s="20" customFormat="1" ht="6.95" customHeight="1" x14ac:dyDescent="0.25">
      <c r="E12" s="74"/>
      <c r="F12" s="75"/>
      <c r="G12" s="76"/>
      <c r="H12" s="74"/>
      <c r="I12" s="75"/>
      <c r="J12" s="76"/>
      <c r="K12" s="77"/>
      <c r="L12" s="78"/>
      <c r="M12" s="79"/>
    </row>
    <row r="13" spans="1:16" s="101" customFormat="1" ht="5.0999999999999996" customHeight="1" thickBot="1" x14ac:dyDescent="0.3">
      <c r="B13" s="102"/>
      <c r="C13" s="102"/>
      <c r="D13" s="102"/>
      <c r="E13" s="102"/>
      <c r="F13" s="102"/>
      <c r="G13" s="102"/>
      <c r="H13" s="102"/>
      <c r="I13" s="102"/>
      <c r="J13" s="102"/>
      <c r="K13" s="102"/>
      <c r="L13" s="102"/>
    </row>
    <row r="14" spans="1:16" ht="20.100000000000001" customHeight="1" x14ac:dyDescent="0.25">
      <c r="B14" s="470" t="s">
        <v>21</v>
      </c>
      <c r="C14" s="474" t="s">
        <v>28</v>
      </c>
      <c r="D14" s="475"/>
      <c r="E14" s="478" t="s">
        <v>138</v>
      </c>
      <c r="F14" s="479"/>
      <c r="G14" s="472"/>
      <c r="H14" s="478" t="s">
        <v>139</v>
      </c>
      <c r="I14" s="479"/>
      <c r="J14" s="472"/>
      <c r="K14" s="472" t="s">
        <v>23</v>
      </c>
    </row>
    <row r="15" spans="1:16" ht="20.100000000000001" customHeight="1" thickBot="1" x14ac:dyDescent="0.3">
      <c r="B15" s="471"/>
      <c r="C15" s="476"/>
      <c r="D15" s="477"/>
      <c r="E15" s="117" t="s">
        <v>16</v>
      </c>
      <c r="F15" s="104" t="s">
        <v>15</v>
      </c>
      <c r="G15" s="118" t="s">
        <v>10</v>
      </c>
      <c r="H15" s="117" t="s">
        <v>16</v>
      </c>
      <c r="I15" s="104" t="s">
        <v>15</v>
      </c>
      <c r="J15" s="118" t="s">
        <v>10</v>
      </c>
      <c r="K15" s="473"/>
    </row>
    <row r="16" spans="1:16" s="155" customFormat="1" ht="20.100000000000001" customHeight="1" x14ac:dyDescent="0.25">
      <c r="A16" s="154"/>
      <c r="B16" s="251">
        <v>1</v>
      </c>
      <c r="C16" s="466" t="s">
        <v>112</v>
      </c>
      <c r="D16" s="467"/>
      <c r="E16" s="252">
        <f>'ORÇ. SINTÉTICO ONERADO'!K15</f>
        <v>127306.59999999999</v>
      </c>
      <c r="F16" s="252">
        <f>'ORÇ. SINTÉTICO ONERADO'!L15</f>
        <v>4895.25</v>
      </c>
      <c r="G16" s="252">
        <f>'ORÇ. SINTÉTICO ONERADO'!M15</f>
        <v>132201.85</v>
      </c>
      <c r="H16" s="252">
        <f>'ORÇ. SINTÉTICO ONERADO'!Q15</f>
        <v>155263.12935999999</v>
      </c>
      <c r="I16" s="252">
        <f>'ORÇ. SINTÉTICO ONERADO'!R15</f>
        <v>5970.2469000000001</v>
      </c>
      <c r="J16" s="379">
        <f>'ORÇ. SINTÉTICO ONERADO'!S15</f>
        <v>161233.35999999999</v>
      </c>
      <c r="K16" s="382">
        <f t="shared" ref="K16:K29" si="0">+J16/$J$32</f>
        <v>6.7249962743846578E-2</v>
      </c>
      <c r="M16" s="255"/>
      <c r="N16" s="253"/>
      <c r="O16" s="256"/>
    </row>
    <row r="17" spans="1:15" s="155" customFormat="1" ht="20.100000000000001" customHeight="1" x14ac:dyDescent="0.25">
      <c r="A17" s="154"/>
      <c r="B17" s="156">
        <v>2</v>
      </c>
      <c r="C17" s="464" t="s">
        <v>108</v>
      </c>
      <c r="D17" s="465"/>
      <c r="E17" s="119">
        <f>'ORÇ. SINTÉTICO ONERADO'!K20</f>
        <v>7063.14</v>
      </c>
      <c r="F17" s="119">
        <f>'ORÇ. SINTÉTICO ONERADO'!L20</f>
        <v>14417.630000000001</v>
      </c>
      <c r="G17" s="119">
        <f>'ORÇ. SINTÉTICO ONERADO'!M20</f>
        <v>21480.77</v>
      </c>
      <c r="H17" s="119">
        <f>'ORÇ. SINTÉTICO ONERADO'!Q20</f>
        <v>8614.2055440000004</v>
      </c>
      <c r="I17" s="119">
        <f>'ORÇ. SINTÉTICO ONERADO'!R20</f>
        <v>17583.741547999998</v>
      </c>
      <c r="J17" s="380">
        <f>'ORÇ. SINTÉTICO ONERADO'!S20</f>
        <v>26197.93</v>
      </c>
      <c r="K17" s="383">
        <f t="shared" si="0"/>
        <v>1.0927079957062861E-2</v>
      </c>
      <c r="M17" s="255"/>
      <c r="N17" s="253"/>
      <c r="O17" s="256"/>
    </row>
    <row r="18" spans="1:15" s="155" customFormat="1" ht="20.100000000000001" customHeight="1" x14ac:dyDescent="0.25">
      <c r="A18" s="154"/>
      <c r="B18" s="156">
        <v>3</v>
      </c>
      <c r="C18" s="464" t="s">
        <v>107</v>
      </c>
      <c r="D18" s="465"/>
      <c r="E18" s="119">
        <f>'ORÇ. SINTÉTICO ONERADO'!K28</f>
        <v>47227.869500000001</v>
      </c>
      <c r="F18" s="119">
        <f>'ORÇ. SINTÉTICO ONERADO'!L28</f>
        <v>26628.441350000001</v>
      </c>
      <c r="G18" s="119">
        <f>'ORÇ. SINTÉTICO ONERADO'!M28</f>
        <v>73856.28</v>
      </c>
      <c r="H18" s="119">
        <f>'ORÇ. SINTÉTICO ONERADO'!Q28</f>
        <v>57599.109642200005</v>
      </c>
      <c r="I18" s="119">
        <f>'ORÇ. SINTÉTICO ONERADO'!R28</f>
        <v>32476.047070460005</v>
      </c>
      <c r="J18" s="380">
        <f>'ORÇ. SINTÉTICO ONERADO'!S28</f>
        <v>90075.099999999991</v>
      </c>
      <c r="K18" s="383">
        <f t="shared" si="0"/>
        <v>3.7570060681910086E-2</v>
      </c>
      <c r="M18" s="255"/>
      <c r="N18" s="253"/>
      <c r="O18" s="256"/>
    </row>
    <row r="19" spans="1:15" ht="20.100000000000001" customHeight="1" x14ac:dyDescent="0.25">
      <c r="B19" s="156">
        <v>4</v>
      </c>
      <c r="C19" s="464" t="s">
        <v>226</v>
      </c>
      <c r="D19" s="465"/>
      <c r="E19" s="119">
        <f>'ORÇ. SINTÉTICO ONERADO'!K43</f>
        <v>29724.305999999997</v>
      </c>
      <c r="F19" s="119">
        <f>'ORÇ. SINTÉTICO ONERADO'!L43</f>
        <v>44346.965999999993</v>
      </c>
      <c r="G19" s="119">
        <f>'ORÇ. SINTÉTICO ONERADO'!M43</f>
        <v>74071.27</v>
      </c>
      <c r="H19" s="119">
        <f>'ORÇ. SINTÉTICO ONERADO'!Q43</f>
        <v>36251.763597599995</v>
      </c>
      <c r="I19" s="119">
        <f>'ORÇ. SINTÉTICO ONERADO'!R43</f>
        <v>54085.559733599992</v>
      </c>
      <c r="J19" s="119">
        <f>'ORÇ. SINTÉTICO ONERADO'!S43</f>
        <v>90337.290000000008</v>
      </c>
      <c r="K19" s="383">
        <f t="shared" si="0"/>
        <v>3.7679419363834288E-2</v>
      </c>
      <c r="M19" s="255"/>
      <c r="N19" s="253"/>
      <c r="O19" s="256"/>
    </row>
    <row r="20" spans="1:15" ht="20.100000000000001" customHeight="1" x14ac:dyDescent="0.25">
      <c r="B20" s="156">
        <v>5</v>
      </c>
      <c r="C20" s="464" t="s">
        <v>209</v>
      </c>
      <c r="D20" s="465"/>
      <c r="E20" s="119">
        <f>'ORÇ. SINTÉTICO ONERADO'!K51</f>
        <v>60966.724999999999</v>
      </c>
      <c r="F20" s="119">
        <f>'ORÇ. SINTÉTICO ONERADO'!L51</f>
        <v>173716.60200000004</v>
      </c>
      <c r="G20" s="119">
        <f>'ORÇ. SINTÉTICO ONERADO'!M51</f>
        <v>234683.32</v>
      </c>
      <c r="H20" s="119">
        <f>'ORÇ. SINTÉTICO ONERADO'!Q51</f>
        <v>74355.017810000005</v>
      </c>
      <c r="I20" s="119">
        <f>'ORÇ. SINTÉTICO ONERADO'!R51</f>
        <v>211864.7677992</v>
      </c>
      <c r="J20" s="119">
        <f>'ORÇ. SINTÉTICO ONERADO'!S51</f>
        <v>286219.73</v>
      </c>
      <c r="K20" s="383">
        <f t="shared" si="0"/>
        <v>0.11938141200464859</v>
      </c>
      <c r="M20" s="255"/>
      <c r="N20" s="253"/>
      <c r="O20" s="256"/>
    </row>
    <row r="21" spans="1:15" ht="20.100000000000001" customHeight="1" x14ac:dyDescent="0.25">
      <c r="B21" s="156">
        <v>6</v>
      </c>
      <c r="C21" s="464" t="s">
        <v>887</v>
      </c>
      <c r="D21" s="465"/>
      <c r="E21" s="119">
        <f>'ORÇ. SINTÉTICO ONERADO'!K68</f>
        <v>24038.776500000004</v>
      </c>
      <c r="F21" s="119">
        <f>'ORÇ. SINTÉTICO ONERADO'!L68</f>
        <v>317031.6789</v>
      </c>
      <c r="G21" s="119">
        <f>'ORÇ. SINTÉTICO ONERADO'!M68</f>
        <v>341070.45</v>
      </c>
      <c r="H21" s="119">
        <f>'ORÇ. SINTÉTICO ONERADO'!Q68</f>
        <v>29317.691819399999</v>
      </c>
      <c r="I21" s="119">
        <f>'ORÇ. SINTÉTICO ONERADO'!R68</f>
        <v>386651.83558644005</v>
      </c>
      <c r="J21" s="119">
        <f>'ORÇ. SINTÉTICO ONERADO'!S68</f>
        <v>415969.51</v>
      </c>
      <c r="K21" s="383">
        <f t="shared" si="0"/>
        <v>0.17349966564038682</v>
      </c>
      <c r="M21" s="255"/>
      <c r="N21" s="253"/>
      <c r="O21" s="256"/>
    </row>
    <row r="22" spans="1:15" ht="20.100000000000001" customHeight="1" x14ac:dyDescent="0.25">
      <c r="B22" s="156">
        <v>7</v>
      </c>
      <c r="C22" s="464" t="s">
        <v>1109</v>
      </c>
      <c r="D22" s="465"/>
      <c r="E22" s="377">
        <f>'ORÇ. SINTÉTICO ONERADO'!K75</f>
        <v>12665.98</v>
      </c>
      <c r="F22" s="377">
        <f>'ORÇ. SINTÉTICO ONERADO'!L75</f>
        <v>14444.330000000002</v>
      </c>
      <c r="G22" s="377">
        <f>'ORÇ. SINTÉTICO ONERADO'!M75</f>
        <v>27110.309999999998</v>
      </c>
      <c r="H22" s="377">
        <f>'ORÇ. SINTÉTICO ONERADO'!Q75</f>
        <v>15447.429208000001</v>
      </c>
      <c r="I22" s="377">
        <f>'ORÇ. SINTÉTICO ONERADO'!R75</f>
        <v>17616.304868000003</v>
      </c>
      <c r="J22" s="377">
        <f>'ORÇ. SINTÉTICO ONERADO'!S75</f>
        <v>33063.68</v>
      </c>
      <c r="K22" s="383">
        <f t="shared" si="0"/>
        <v>1.3790764195291008E-2</v>
      </c>
      <c r="M22" s="255"/>
      <c r="N22" s="253"/>
      <c r="O22" s="256"/>
    </row>
    <row r="23" spans="1:15" ht="20.100000000000001" customHeight="1" x14ac:dyDescent="0.25">
      <c r="B23" s="156">
        <v>8</v>
      </c>
      <c r="C23" s="464" t="s">
        <v>909</v>
      </c>
      <c r="D23" s="465"/>
      <c r="E23" s="377">
        <f>'ORÇ. SINTÉTICO ONERADO'!K87</f>
        <v>9420.2799999999988</v>
      </c>
      <c r="F23" s="377">
        <f>'ORÇ. SINTÉTICO ONERADO'!L87</f>
        <v>31184.549999999996</v>
      </c>
      <c r="G23" s="377">
        <f>'ORÇ. SINTÉTICO ONERADO'!M87</f>
        <v>40604.83</v>
      </c>
      <c r="H23" s="377">
        <f>'ORÇ. SINTÉTICO ONERADO'!Q87</f>
        <v>11488.973488</v>
      </c>
      <c r="I23" s="377">
        <f>'ORÇ. SINTÉTICO ONERADO'!R87</f>
        <v>38032.677180000006</v>
      </c>
      <c r="J23" s="377">
        <f>'ORÇ. SINTÉTICO ONERADO'!S87</f>
        <v>49521.56</v>
      </c>
      <c r="K23" s="383">
        <f t="shared" si="0"/>
        <v>2.0655297793317481E-2</v>
      </c>
      <c r="M23" s="255"/>
      <c r="N23" s="253"/>
      <c r="O23" s="256"/>
    </row>
    <row r="24" spans="1:15" ht="20.100000000000001" customHeight="1" x14ac:dyDescent="0.25">
      <c r="B24" s="156">
        <v>9</v>
      </c>
      <c r="C24" s="464" t="s">
        <v>1180</v>
      </c>
      <c r="D24" s="465"/>
      <c r="E24" s="377">
        <f>'ORÇ. SINTÉTICO ONERADO'!K104</f>
        <v>63785.98</v>
      </c>
      <c r="F24" s="377">
        <f>'ORÇ. SINTÉTICO ONERADO'!L104</f>
        <v>55990.39</v>
      </c>
      <c r="G24" s="377">
        <f>'ORÇ. SINTÉTICO ONERADO'!M104</f>
        <v>119776.37</v>
      </c>
      <c r="H24" s="377">
        <f>'ORÇ. SINTÉTICO ONERADO'!Q104</f>
        <v>77793.381208000006</v>
      </c>
      <c r="I24" s="377">
        <f>'ORÇ. SINTÉTICO ONERADO'!R104</f>
        <v>68285.879644000001</v>
      </c>
      <c r="J24" s="377">
        <f>'ORÇ. SINTÉTICO ONERADO'!S104</f>
        <v>146079.25</v>
      </c>
      <c r="K24" s="383">
        <f t="shared" si="0"/>
        <v>6.0929227798447241E-2</v>
      </c>
      <c r="M24" s="255"/>
      <c r="N24" s="253"/>
      <c r="O24" s="256"/>
    </row>
    <row r="25" spans="1:15" ht="20.100000000000001" customHeight="1" x14ac:dyDescent="0.25">
      <c r="B25" s="156">
        <v>10</v>
      </c>
      <c r="C25" s="464" t="s">
        <v>953</v>
      </c>
      <c r="D25" s="465"/>
      <c r="E25" s="377">
        <f>'ORÇ. SINTÉTICO ONERADO'!K109</f>
        <v>47455.861999999994</v>
      </c>
      <c r="F25" s="377">
        <f>'ORÇ. SINTÉTICO ONERADO'!L109</f>
        <v>134905.46399999998</v>
      </c>
      <c r="G25" s="377">
        <f>'ORÇ. SINTÉTICO ONERADO'!M109</f>
        <v>182361.31</v>
      </c>
      <c r="H25" s="377">
        <f>'ORÇ. SINTÉTICO ONERADO'!Q109</f>
        <v>57877.169295200001</v>
      </c>
      <c r="I25" s="377">
        <f>'ORÇ. SINTÉTICO ONERADO'!R109</f>
        <v>164530.70389439998</v>
      </c>
      <c r="J25" s="377">
        <f>'ORÇ. SINTÉTICO ONERADO'!S109</f>
        <v>222407.81</v>
      </c>
      <c r="K25" s="383">
        <f t="shared" si="0"/>
        <v>9.276564686390279E-2</v>
      </c>
      <c r="M25" s="255"/>
      <c r="N25" s="253"/>
      <c r="O25" s="256"/>
    </row>
    <row r="26" spans="1:15" ht="20.100000000000001" customHeight="1" x14ac:dyDescent="0.25">
      <c r="B26" s="156">
        <v>11</v>
      </c>
      <c r="C26" s="464" t="s">
        <v>967</v>
      </c>
      <c r="D26" s="465"/>
      <c r="E26" s="377">
        <f>'ORÇ. SINTÉTICO ONERADO'!K121</f>
        <v>891.7700000000001</v>
      </c>
      <c r="F26" s="377">
        <f>'ORÇ. SINTÉTICO ONERADO'!L121</f>
        <v>41573.659999999996</v>
      </c>
      <c r="G26" s="377">
        <f>'ORÇ. SINTÉTICO ONERADO'!M121</f>
        <v>42465.429999999993</v>
      </c>
      <c r="H26" s="377">
        <f>'ORÇ. SINTÉTICO ONERADO'!Q121</f>
        <v>1087.6026920000002</v>
      </c>
      <c r="I26" s="377">
        <f>'ORÇ. SINTÉTICO ONERADO'!R121</f>
        <v>50703.23573600001</v>
      </c>
      <c r="J26" s="377">
        <f>'ORÇ. SINTÉTICO ONERADO'!S121</f>
        <v>51790.810000000005</v>
      </c>
      <c r="K26" s="383">
        <f t="shared" si="0"/>
        <v>2.1601795329289408E-2</v>
      </c>
      <c r="M26" s="255"/>
      <c r="N26" s="253"/>
      <c r="O26" s="256"/>
    </row>
    <row r="27" spans="1:15" ht="20.100000000000001" customHeight="1" x14ac:dyDescent="0.25">
      <c r="B27" s="156">
        <v>12</v>
      </c>
      <c r="C27" s="464" t="s">
        <v>970</v>
      </c>
      <c r="D27" s="465"/>
      <c r="E27" s="377">
        <f>'ORÇ. SINTÉTICO ONERADO'!K129</f>
        <v>181901.43299999999</v>
      </c>
      <c r="F27" s="377">
        <f>'ORÇ. SINTÉTICO ONERADO'!L129</f>
        <v>483579.74200000003</v>
      </c>
      <c r="G27" s="377">
        <f>'ORÇ. SINTÉTICO ONERADO'!M129</f>
        <v>665481.16999999993</v>
      </c>
      <c r="H27" s="377">
        <f>'ORÇ. SINTÉTICO ONERADO'!Q129</f>
        <v>221846.98768680001</v>
      </c>
      <c r="I27" s="377">
        <f>'ORÇ. SINTÉTICO ONERADO'!R129</f>
        <v>589773.85334320005</v>
      </c>
      <c r="J27" s="377">
        <f>'ORÇ. SINTÉTICO ONERADO'!S129</f>
        <v>811620.5199999999</v>
      </c>
      <c r="K27" s="383">
        <f t="shared" si="0"/>
        <v>0.33852454437556462</v>
      </c>
      <c r="M27" s="255"/>
      <c r="N27" s="253"/>
      <c r="O27" s="256"/>
    </row>
    <row r="28" spans="1:15" ht="20.100000000000001" customHeight="1" x14ac:dyDescent="0.25">
      <c r="B28" s="156">
        <v>13</v>
      </c>
      <c r="C28" s="464" t="s">
        <v>1053</v>
      </c>
      <c r="D28" s="465"/>
      <c r="E28" s="377">
        <f>'ORÇ. SINTÉTICO ONERADO'!K208</f>
        <v>5754.0639999999994</v>
      </c>
      <c r="F28" s="377">
        <f>'ORÇ. SINTÉTICO ONERADO'!L208</f>
        <v>4910.7959999999994</v>
      </c>
      <c r="G28" s="377">
        <f>'ORÇ. SINTÉTICO ONERADO'!M208</f>
        <v>10664.86</v>
      </c>
      <c r="H28" s="377">
        <f>'ORÇ. SINTÉTICO ONERADO'!Q208</f>
        <v>7017.6564543999993</v>
      </c>
      <c r="I28" s="377">
        <f>'ORÇ. SINTÉTICO ONERADO'!R208</f>
        <v>5989.2068015999994</v>
      </c>
      <c r="J28" s="377">
        <f>'ORÇ. SINTÉTICO ONERADO'!S208</f>
        <v>13006.86</v>
      </c>
      <c r="K28" s="383">
        <f t="shared" si="0"/>
        <v>5.4251232524982944E-3</v>
      </c>
      <c r="M28" s="255"/>
      <c r="N28" s="253"/>
      <c r="O28" s="256"/>
    </row>
    <row r="29" spans="1:15" ht="20.100000000000001" customHeight="1" thickBot="1" x14ac:dyDescent="0.3">
      <c r="B29" s="105"/>
      <c r="C29" s="460"/>
      <c r="D29" s="461"/>
      <c r="E29" s="120"/>
      <c r="F29" s="106"/>
      <c r="G29" s="121"/>
      <c r="H29" s="120"/>
      <c r="I29" s="106"/>
      <c r="J29" s="381"/>
      <c r="K29" s="383">
        <f t="shared" si="0"/>
        <v>0</v>
      </c>
    </row>
    <row r="30" spans="1:15" ht="6.95" customHeight="1" thickBot="1" x14ac:dyDescent="0.3">
      <c r="B30" s="107"/>
      <c r="C30" s="108"/>
      <c r="D30" s="108"/>
      <c r="E30" s="57"/>
      <c r="F30" s="57"/>
      <c r="G30" s="57"/>
      <c r="H30" s="57"/>
      <c r="I30" s="57"/>
      <c r="J30" s="57"/>
    </row>
    <row r="31" spans="1:15" ht="6.95" customHeight="1" x14ac:dyDescent="0.25">
      <c r="B31" s="124"/>
      <c r="C31" s="125"/>
      <c r="D31" s="125"/>
      <c r="E31" s="126"/>
      <c r="F31" s="127"/>
      <c r="G31" s="128"/>
      <c r="H31" s="126"/>
      <c r="I31" s="127"/>
      <c r="J31" s="128"/>
      <c r="K31" s="128"/>
    </row>
    <row r="32" spans="1:15" s="111" customFormat="1" x14ac:dyDescent="0.25">
      <c r="A32" s="110"/>
      <c r="B32" s="462" t="s">
        <v>43</v>
      </c>
      <c r="C32" s="463"/>
      <c r="D32" s="97"/>
      <c r="E32" s="98">
        <f>SUM(E16:E31)</f>
        <v>618202.78599999985</v>
      </c>
      <c r="F32" s="99">
        <f>SUM(F16:F31)</f>
        <v>1347625.50025</v>
      </c>
      <c r="G32" s="100">
        <f>SUM(G16:G31)</f>
        <v>1965828.22</v>
      </c>
      <c r="H32" s="98">
        <f>SUM(H16:H31)</f>
        <v>753960.11780560005</v>
      </c>
      <c r="I32" s="99">
        <f>SUM(I16:I31)</f>
        <v>1643564.0601049</v>
      </c>
      <c r="J32" s="100">
        <f>SUM(J16:J29)</f>
        <v>2397523.4099999997</v>
      </c>
      <c r="K32" s="378">
        <f>SUM(K16:K29)</f>
        <v>1</v>
      </c>
    </row>
    <row r="33" spans="2:11" ht="6.95" customHeight="1" thickBot="1" x14ac:dyDescent="0.3">
      <c r="B33" s="112"/>
      <c r="C33" s="113"/>
      <c r="D33" s="113"/>
      <c r="E33" s="114"/>
      <c r="F33" s="115"/>
      <c r="G33" s="116"/>
      <c r="H33" s="114"/>
      <c r="I33" s="115"/>
      <c r="J33" s="116"/>
      <c r="K33" s="116"/>
    </row>
  </sheetData>
  <mergeCells count="22">
    <mergeCell ref="B1:K6"/>
    <mergeCell ref="B14:B15"/>
    <mergeCell ref="K14:K15"/>
    <mergeCell ref="C14:D15"/>
    <mergeCell ref="E14:G14"/>
    <mergeCell ref="H14:J14"/>
    <mergeCell ref="C11:H11"/>
    <mergeCell ref="C29:D29"/>
    <mergeCell ref="B32:C32"/>
    <mergeCell ref="C20:D20"/>
    <mergeCell ref="C21:D21"/>
    <mergeCell ref="C16:D16"/>
    <mergeCell ref="C17:D17"/>
    <mergeCell ref="C19:D19"/>
    <mergeCell ref="C18:D18"/>
    <mergeCell ref="C22:D22"/>
    <mergeCell ref="C23:D23"/>
    <mergeCell ref="C24:D24"/>
    <mergeCell ref="C25:D25"/>
    <mergeCell ref="C26:D26"/>
    <mergeCell ref="C27:D27"/>
    <mergeCell ref="C28:D28"/>
  </mergeCells>
  <printOptions horizontalCentered="1"/>
  <pageMargins left="0.51181102362204722" right="0.51181102362204722" top="0.78740157480314965" bottom="0.98425196850393704" header="0.31496062992125984" footer="0.31496062992125984"/>
  <pageSetup paperSize="9" scale="75" orientation="landscape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tabColor theme="6"/>
  </sheetPr>
  <dimension ref="A1:Y219"/>
  <sheetViews>
    <sheetView showGridLines="0" showZeros="0" view="pageBreakPreview" zoomScale="80" zoomScaleNormal="100" zoomScaleSheetLayoutView="80" workbookViewId="0">
      <selection activeCell="E17" sqref="E17"/>
    </sheetView>
  </sheetViews>
  <sheetFormatPr defaultColWidth="16" defaultRowHeight="12.75" x14ac:dyDescent="0.25"/>
  <cols>
    <col min="1" max="1" width="0.85546875" style="201" customWidth="1"/>
    <col min="2" max="2" width="7.42578125" style="202" customWidth="1"/>
    <col min="3" max="3" width="14.5703125" style="178" customWidth="1"/>
    <col min="4" max="4" width="8.42578125" style="178" customWidth="1"/>
    <col min="5" max="5" width="48.140625" style="201" customWidth="1"/>
    <col min="6" max="6" width="5.5703125" style="202" customWidth="1"/>
    <col min="7" max="7" width="9.85546875" style="243" customWidth="1"/>
    <col min="8" max="8" width="10.85546875" style="202" customWidth="1"/>
    <col min="9" max="10" width="10.140625" style="202" customWidth="1"/>
    <col min="11" max="11" width="14.5703125" style="202" bestFit="1" customWidth="1"/>
    <col min="12" max="12" width="12.5703125" style="202" bestFit="1" customWidth="1"/>
    <col min="13" max="13" width="13.5703125" style="243" customWidth="1"/>
    <col min="14" max="14" width="10.42578125" style="202" customWidth="1"/>
    <col min="15" max="16" width="10.140625" style="202" customWidth="1"/>
    <col min="17" max="17" width="14.5703125" style="202" bestFit="1" customWidth="1"/>
    <col min="18" max="18" width="15.5703125" style="202" customWidth="1"/>
    <col min="19" max="19" width="17.42578125" style="202" customWidth="1"/>
    <col min="20" max="20" width="9.5703125" style="202" customWidth="1"/>
    <col min="21" max="21" width="0.85546875" style="202" customWidth="1"/>
    <col min="22" max="16384" width="16" style="202"/>
  </cols>
  <sheetData>
    <row r="1" spans="2:25" s="177" customFormat="1" ht="9.9499999999999993" customHeight="1" x14ac:dyDescent="0.25">
      <c r="B1" s="468" t="s">
        <v>338</v>
      </c>
      <c r="C1" s="469"/>
      <c r="D1" s="469"/>
      <c r="E1" s="469"/>
      <c r="F1" s="469"/>
      <c r="G1" s="469"/>
      <c r="H1" s="469"/>
      <c r="I1" s="469"/>
      <c r="J1" s="469"/>
      <c r="K1" s="469"/>
      <c r="L1" s="469"/>
      <c r="M1" s="469"/>
      <c r="N1" s="469"/>
      <c r="O1" s="469"/>
      <c r="P1" s="469"/>
      <c r="Q1" s="469"/>
      <c r="R1" s="469"/>
      <c r="S1" s="469"/>
      <c r="T1" s="469"/>
    </row>
    <row r="2" spans="2:25" s="177" customFormat="1" ht="9.9499999999999993" customHeight="1" x14ac:dyDescent="0.25">
      <c r="B2" s="469"/>
      <c r="C2" s="469"/>
      <c r="D2" s="469"/>
      <c r="E2" s="469"/>
      <c r="F2" s="469"/>
      <c r="G2" s="469"/>
      <c r="H2" s="469"/>
      <c r="I2" s="469"/>
      <c r="J2" s="469"/>
      <c r="K2" s="469"/>
      <c r="L2" s="469"/>
      <c r="M2" s="469"/>
      <c r="N2" s="469"/>
      <c r="O2" s="469"/>
      <c r="P2" s="469"/>
      <c r="Q2" s="469"/>
      <c r="R2" s="469"/>
      <c r="S2" s="469"/>
      <c r="T2" s="469"/>
    </row>
    <row r="3" spans="2:25" s="177" customFormat="1" ht="9.9499999999999993" customHeight="1" x14ac:dyDescent="0.25">
      <c r="B3" s="469"/>
      <c r="C3" s="469"/>
      <c r="D3" s="469"/>
      <c r="E3" s="469"/>
      <c r="F3" s="469"/>
      <c r="G3" s="469"/>
      <c r="H3" s="469"/>
      <c r="I3" s="469"/>
      <c r="J3" s="469"/>
      <c r="K3" s="469"/>
      <c r="L3" s="469"/>
      <c r="M3" s="469"/>
      <c r="N3" s="469"/>
      <c r="O3" s="469"/>
      <c r="P3" s="469"/>
      <c r="Q3" s="469"/>
      <c r="R3" s="469"/>
      <c r="S3" s="469"/>
      <c r="T3" s="469"/>
    </row>
    <row r="4" spans="2:25" s="177" customFormat="1" ht="9.9499999999999993" customHeight="1" x14ac:dyDescent="0.25">
      <c r="B4" s="469"/>
      <c r="C4" s="469"/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  <c r="O4" s="469"/>
      <c r="P4" s="469"/>
      <c r="Q4" s="469"/>
      <c r="R4" s="469"/>
      <c r="S4" s="469"/>
      <c r="T4" s="469"/>
    </row>
    <row r="5" spans="2:25" s="177" customFormat="1" ht="9.9499999999999993" customHeight="1" x14ac:dyDescent="0.25">
      <c r="B5" s="469"/>
      <c r="C5" s="469"/>
      <c r="D5" s="469"/>
      <c r="E5" s="469"/>
      <c r="F5" s="469"/>
      <c r="G5" s="469"/>
      <c r="H5" s="469"/>
      <c r="I5" s="469"/>
      <c r="J5" s="469"/>
      <c r="K5" s="469"/>
      <c r="L5" s="469"/>
      <c r="M5" s="469"/>
      <c r="N5" s="469"/>
      <c r="O5" s="469"/>
      <c r="P5" s="469"/>
      <c r="Q5" s="469"/>
      <c r="R5" s="469"/>
      <c r="S5" s="469"/>
      <c r="T5" s="469"/>
    </row>
    <row r="6" spans="2:25" s="177" customFormat="1" ht="9.9499999999999993" customHeight="1" x14ac:dyDescent="0.25">
      <c r="B6" s="469"/>
      <c r="C6" s="469"/>
      <c r="D6" s="469"/>
      <c r="E6" s="469"/>
      <c r="F6" s="469"/>
      <c r="G6" s="469"/>
      <c r="H6" s="469"/>
      <c r="I6" s="469"/>
      <c r="J6" s="469"/>
      <c r="K6" s="469"/>
      <c r="L6" s="469"/>
      <c r="M6" s="469"/>
      <c r="N6" s="469"/>
      <c r="O6" s="469"/>
      <c r="P6" s="469"/>
      <c r="Q6" s="469"/>
      <c r="R6" s="469"/>
      <c r="S6" s="469"/>
      <c r="T6" s="469"/>
    </row>
    <row r="7" spans="2:25" s="177" customFormat="1" x14ac:dyDescent="0.25">
      <c r="C7" s="178"/>
      <c r="M7" s="179"/>
    </row>
    <row r="8" spans="2:25" s="180" customFormat="1" ht="15" customHeight="1" x14ac:dyDescent="0.25">
      <c r="B8" s="181" t="s">
        <v>50</v>
      </c>
      <c r="C8" s="182" t="str">
        <f>'DADOS DA OBRA'!$B$13</f>
        <v>TRIBUNAL REGIONAL ELEITORAL - PIAUÍ</v>
      </c>
      <c r="F8" s="183"/>
      <c r="G8" s="183"/>
      <c r="H8" s="183"/>
      <c r="I8" s="183"/>
      <c r="J8" s="257"/>
      <c r="K8" s="183"/>
      <c r="M8" s="184"/>
      <c r="N8" s="183"/>
      <c r="O8" s="185" t="s">
        <v>146</v>
      </c>
      <c r="P8" s="186" t="str">
        <f>+'DADOS DA OBRA'!$N$25</f>
        <v>22/11/2021</v>
      </c>
      <c r="Q8" s="183"/>
      <c r="S8" s="185" t="s">
        <v>71</v>
      </c>
      <c r="T8" s="187">
        <f>+'DADOS DA OBRA'!$J$25</f>
        <v>1.1186</v>
      </c>
      <c r="V8" s="188"/>
      <c r="Y8" s="189"/>
    </row>
    <row r="9" spans="2:25" s="180" customFormat="1" ht="15" customHeight="1" x14ac:dyDescent="0.25">
      <c r="B9" s="181" t="s">
        <v>69</v>
      </c>
      <c r="C9" s="182" t="str">
        <f>'DADOS DA OBRA'!$B$16</f>
        <v>ADEQUAÇÃO DE INSTALAÇÕES ELÉTRICAS E CABEAMENTO ESTRUTURADO - EDIFÍCIO SEDE</v>
      </c>
      <c r="M9" s="190"/>
      <c r="O9" s="185" t="s">
        <v>52</v>
      </c>
      <c r="P9" s="186">
        <f>'DADOS DA OBRA'!$N$28</f>
        <v>44733</v>
      </c>
      <c r="S9" s="185" t="s">
        <v>72</v>
      </c>
      <c r="T9" s="187">
        <f>+'DADOS DA OBRA'!$J$28</f>
        <v>0.70630000000000004</v>
      </c>
    </row>
    <row r="10" spans="2:25" s="180" customFormat="1" ht="15" customHeight="1" x14ac:dyDescent="0.25">
      <c r="B10" s="181" t="s">
        <v>53</v>
      </c>
      <c r="C10" s="183" t="str">
        <f>+""&amp;'DADOS DA OBRA'!$B$19&amp;", "&amp;'DADOS DA OBRA'!$J$22&amp;", "&amp;'DADOS DA OBRA'!$P$22</f>
        <v>PRAÇA EDGAR NOGUEIRA, TERESINA, PI</v>
      </c>
      <c r="D10" s="183"/>
      <c r="M10" s="190"/>
      <c r="O10" s="185" t="s">
        <v>147</v>
      </c>
      <c r="P10" s="186" t="str">
        <f>+'DADOS DA OBRA'!$B$28</f>
        <v>05 MESES</v>
      </c>
      <c r="S10" s="185" t="s">
        <v>140</v>
      </c>
      <c r="T10" s="187">
        <f>+'DADOS DA OBRA'!$F$25</f>
        <v>0.21960000000000002</v>
      </c>
    </row>
    <row r="11" spans="2:25" s="180" customFormat="1" ht="32.450000000000003" customHeight="1" x14ac:dyDescent="0.25">
      <c r="B11" s="181" t="s">
        <v>70</v>
      </c>
      <c r="C11" s="496" t="str">
        <f>+'DADOS DA OBRA'!$B$31</f>
        <v>SINAPI - 04/2022 - PIAUÍ   	SBC - 05/2022 - TSA - Teresina - PI  ORSE - 03/2022 - SERGIPE      ETOP - 03/2022 - Minas Gerais - Central SUDECAP - 02/2022 - MINAS GERAIS    CPOS - 02/2022 - São Paulo AGESUL - 01/2022 - MATO GROSSO DO SUL     GETOP CIVIL - 04/2022 - Goiás EMOP - 04/2022 - RIO DE JANEIRO</v>
      </c>
      <c r="D11" s="496"/>
      <c r="E11" s="496"/>
      <c r="F11" s="496"/>
      <c r="G11" s="496"/>
      <c r="H11" s="496"/>
      <c r="I11" s="496"/>
      <c r="J11" s="496"/>
      <c r="K11" s="496"/>
      <c r="L11" s="496"/>
      <c r="M11" s="496"/>
      <c r="N11" s="496"/>
      <c r="O11" s="496"/>
      <c r="P11" s="496"/>
      <c r="Q11" s="496"/>
      <c r="R11" s="185"/>
      <c r="S11" s="185" t="s">
        <v>141</v>
      </c>
      <c r="T11" s="187">
        <f>+'DADOS DA OBRA'!$F$28</f>
        <v>0.1527</v>
      </c>
    </row>
    <row r="12" spans="2:25" s="191" customFormat="1" ht="6.95" customHeight="1" thickBot="1" x14ac:dyDescent="0.3">
      <c r="C12" s="192"/>
      <c r="I12" s="193"/>
      <c r="J12" s="194"/>
      <c r="K12" s="194"/>
      <c r="L12" s="195"/>
      <c r="M12" s="196"/>
      <c r="O12" s="193"/>
      <c r="P12" s="194"/>
      <c r="Q12" s="194"/>
      <c r="R12" s="195"/>
      <c r="S12" s="197"/>
      <c r="T12" s="198"/>
      <c r="U12" s="199"/>
      <c r="V12" s="200"/>
    </row>
    <row r="13" spans="2:25" ht="20.100000000000001" customHeight="1" x14ac:dyDescent="0.25">
      <c r="B13" s="492" t="s">
        <v>21</v>
      </c>
      <c r="C13" s="481" t="s">
        <v>45</v>
      </c>
      <c r="D13" s="481" t="s">
        <v>44</v>
      </c>
      <c r="E13" s="481" t="s">
        <v>28</v>
      </c>
      <c r="F13" s="481" t="s">
        <v>22</v>
      </c>
      <c r="G13" s="494" t="s">
        <v>12</v>
      </c>
      <c r="H13" s="483" t="s">
        <v>142</v>
      </c>
      <c r="I13" s="484"/>
      <c r="J13" s="485"/>
      <c r="K13" s="487" t="s">
        <v>143</v>
      </c>
      <c r="L13" s="488"/>
      <c r="M13" s="489"/>
      <c r="N13" s="483" t="s">
        <v>20</v>
      </c>
      <c r="O13" s="484"/>
      <c r="P13" s="485"/>
      <c r="Q13" s="486" t="s">
        <v>13</v>
      </c>
      <c r="R13" s="481"/>
      <c r="S13" s="481" t="s">
        <v>10</v>
      </c>
      <c r="T13" s="490" t="s">
        <v>23</v>
      </c>
    </row>
    <row r="14" spans="2:25" ht="20.100000000000001" customHeight="1" thickBot="1" x14ac:dyDescent="0.3">
      <c r="B14" s="493"/>
      <c r="C14" s="482"/>
      <c r="D14" s="482"/>
      <c r="E14" s="482"/>
      <c r="F14" s="482"/>
      <c r="G14" s="495"/>
      <c r="H14" s="157" t="s">
        <v>16</v>
      </c>
      <c r="I14" s="158" t="s">
        <v>15</v>
      </c>
      <c r="J14" s="159" t="s">
        <v>10</v>
      </c>
      <c r="K14" s="157" t="s">
        <v>16</v>
      </c>
      <c r="L14" s="158" t="s">
        <v>15</v>
      </c>
      <c r="M14" s="159" t="s">
        <v>10</v>
      </c>
      <c r="N14" s="157" t="s">
        <v>16</v>
      </c>
      <c r="O14" s="158" t="s">
        <v>15</v>
      </c>
      <c r="P14" s="159" t="s">
        <v>10</v>
      </c>
      <c r="Q14" s="157" t="s">
        <v>16</v>
      </c>
      <c r="R14" s="158" t="s">
        <v>15</v>
      </c>
      <c r="S14" s="482"/>
      <c r="T14" s="491"/>
    </row>
    <row r="15" spans="2:25" ht="24.95" customHeight="1" x14ac:dyDescent="0.25">
      <c r="B15" s="327" t="s">
        <v>212</v>
      </c>
      <c r="C15" s="328"/>
      <c r="D15" s="328"/>
      <c r="E15" s="329" t="s">
        <v>112</v>
      </c>
      <c r="F15" s="330"/>
      <c r="G15" s="331"/>
      <c r="H15" s="332"/>
      <c r="I15" s="330"/>
      <c r="J15" s="335"/>
      <c r="K15" s="406">
        <f t="shared" ref="K15:L15" si="0">SUM(K16:K18)</f>
        <v>127306.59999999999</v>
      </c>
      <c r="L15" s="406">
        <f t="shared" si="0"/>
        <v>4895.25</v>
      </c>
      <c r="M15" s="406">
        <f>SUM(M16:M18)</f>
        <v>132201.85</v>
      </c>
      <c r="N15" s="407"/>
      <c r="O15" s="408"/>
      <c r="P15" s="406"/>
      <c r="Q15" s="406">
        <f t="shared" ref="Q15:R15" si="1">SUM(Q16:Q18)</f>
        <v>155263.12935999999</v>
      </c>
      <c r="R15" s="406">
        <f t="shared" si="1"/>
        <v>5970.2469000000001</v>
      </c>
      <c r="S15" s="406">
        <f>SUM(S16:S18)</f>
        <v>161233.35999999999</v>
      </c>
      <c r="T15" s="334">
        <f t="shared" ref="T15:T41" si="2">+S15/$S$213</f>
        <v>6.7249962743846578E-2</v>
      </c>
    </row>
    <row r="16" spans="2:25" ht="24.95" customHeight="1" x14ac:dyDescent="0.25">
      <c r="B16" s="162" t="s">
        <v>117</v>
      </c>
      <c r="C16" s="160" t="s">
        <v>739</v>
      </c>
      <c r="D16" s="160" t="s">
        <v>31</v>
      </c>
      <c r="E16" s="163" t="s">
        <v>740</v>
      </c>
      <c r="F16" s="160" t="s">
        <v>120</v>
      </c>
      <c r="G16" s="164">
        <v>5</v>
      </c>
      <c r="H16" s="165">
        <v>15750.06</v>
      </c>
      <c r="I16" s="166">
        <v>289.58999999999997</v>
      </c>
      <c r="J16" s="167">
        <f>SUM(H16:I16)</f>
        <v>16039.65</v>
      </c>
      <c r="K16" s="168">
        <f>+H16*G16</f>
        <v>78750.3</v>
      </c>
      <c r="L16" s="169">
        <f>+I16*G16</f>
        <v>1447.9499999999998</v>
      </c>
      <c r="M16" s="170">
        <f t="shared" ref="M16:M18" si="3">TRUNC(SUM(K16:L16),2)</f>
        <v>80198.25</v>
      </c>
      <c r="N16" s="165">
        <f t="shared" ref="N16:O16" si="4">+H16*(1+$T$10)</f>
        <v>19208.773175999999</v>
      </c>
      <c r="O16" s="166">
        <f t="shared" si="4"/>
        <v>353.18396399999995</v>
      </c>
      <c r="P16" s="167">
        <f>TRUNC(SUM(N16:O16),2)</f>
        <v>19561.95</v>
      </c>
      <c r="Q16" s="168">
        <f>+N16*G16</f>
        <v>96043.865879999998</v>
      </c>
      <c r="R16" s="169">
        <f>+O16*G16</f>
        <v>1765.9198199999996</v>
      </c>
      <c r="S16" s="169">
        <f>TRUNC(SUM(Q16:R16),2)</f>
        <v>97809.78</v>
      </c>
      <c r="T16" s="161">
        <f t="shared" si="2"/>
        <v>4.0796173080954408E-2</v>
      </c>
    </row>
    <row r="17" spans="2:20" ht="24.95" customHeight="1" x14ac:dyDescent="0.25">
      <c r="B17" s="162" t="s">
        <v>118</v>
      </c>
      <c r="C17" s="160" t="s">
        <v>119</v>
      </c>
      <c r="D17" s="160" t="s">
        <v>31</v>
      </c>
      <c r="E17" s="163" t="s">
        <v>113</v>
      </c>
      <c r="F17" s="160" t="s">
        <v>120</v>
      </c>
      <c r="G17" s="164">
        <v>5</v>
      </c>
      <c r="H17" s="165">
        <v>4613.07</v>
      </c>
      <c r="I17" s="166">
        <v>385.67</v>
      </c>
      <c r="J17" s="167">
        <f t="shared" ref="J17:J18" si="5">SUM(H17:I17)</f>
        <v>4998.74</v>
      </c>
      <c r="K17" s="168">
        <f>+H17*G17</f>
        <v>23065.35</v>
      </c>
      <c r="L17" s="169">
        <f>+I17*G17</f>
        <v>1928.3500000000001</v>
      </c>
      <c r="M17" s="170">
        <f t="shared" si="3"/>
        <v>24993.7</v>
      </c>
      <c r="N17" s="165">
        <f t="shared" ref="N17:N18" si="6">+H17*(1+$T$10)</f>
        <v>5626.1001719999995</v>
      </c>
      <c r="O17" s="166">
        <f t="shared" ref="O17:O18" si="7">+I17*(1+$T$10)</f>
        <v>470.36313200000001</v>
      </c>
      <c r="P17" s="167">
        <f>TRUNC(SUM(N17:O17),2)</f>
        <v>6096.46</v>
      </c>
      <c r="Q17" s="168">
        <f>+N17*G17</f>
        <v>28130.500859999996</v>
      </c>
      <c r="R17" s="169">
        <f>+O17*G17</f>
        <v>2351.8156600000002</v>
      </c>
      <c r="S17" s="169">
        <f>TRUNC(SUM(Q17:R17),2)</f>
        <v>30482.31</v>
      </c>
      <c r="T17" s="161">
        <f t="shared" si="2"/>
        <v>1.2714082320472527E-2</v>
      </c>
    </row>
    <row r="18" spans="2:20" ht="24.95" customHeight="1" x14ac:dyDescent="0.25">
      <c r="B18" s="162" t="s">
        <v>268</v>
      </c>
      <c r="C18" s="160" t="s">
        <v>1056</v>
      </c>
      <c r="D18" s="160" t="s">
        <v>31</v>
      </c>
      <c r="E18" s="163" t="s">
        <v>1057</v>
      </c>
      <c r="F18" s="160" t="s">
        <v>120</v>
      </c>
      <c r="G18" s="164">
        <v>5</v>
      </c>
      <c r="H18" s="165">
        <v>5098.1899999999996</v>
      </c>
      <c r="I18" s="166">
        <v>303.79000000000002</v>
      </c>
      <c r="J18" s="167">
        <f t="shared" si="5"/>
        <v>5401.98</v>
      </c>
      <c r="K18" s="168">
        <f>+H18*G18</f>
        <v>25490.949999999997</v>
      </c>
      <c r="L18" s="169">
        <f>+I18*G18</f>
        <v>1518.95</v>
      </c>
      <c r="M18" s="170">
        <f t="shared" si="3"/>
        <v>27009.9</v>
      </c>
      <c r="N18" s="165">
        <f t="shared" si="6"/>
        <v>6217.7525239999995</v>
      </c>
      <c r="O18" s="166">
        <f t="shared" si="7"/>
        <v>370.50228400000003</v>
      </c>
      <c r="P18" s="167">
        <f>TRUNC(SUM(N18:O18),2)</f>
        <v>6588.25</v>
      </c>
      <c r="Q18" s="168">
        <f>+N18*G18</f>
        <v>31088.762619999998</v>
      </c>
      <c r="R18" s="169">
        <f>+O18*G18</f>
        <v>1852.5114200000003</v>
      </c>
      <c r="S18" s="169">
        <f>TRUNC(SUM(Q18:R18),2)</f>
        <v>32941.269999999997</v>
      </c>
      <c r="T18" s="161">
        <f t="shared" si="2"/>
        <v>1.3739707342419652E-2</v>
      </c>
    </row>
    <row r="19" spans="2:20" ht="24.95" customHeight="1" x14ac:dyDescent="0.25">
      <c r="B19" s="205"/>
      <c r="C19" s="160"/>
      <c r="D19" s="160"/>
      <c r="E19" s="209"/>
      <c r="F19" s="203"/>
      <c r="G19" s="204"/>
      <c r="H19" s="205"/>
      <c r="I19" s="203"/>
      <c r="J19" s="206"/>
      <c r="K19" s="207"/>
      <c r="L19" s="203"/>
      <c r="M19" s="208"/>
      <c r="N19" s="205">
        <f t="shared" ref="N19:O19" si="8">TRUNC(H19*(1+$T$10),2)</f>
        <v>0</v>
      </c>
      <c r="O19" s="203">
        <f t="shared" si="8"/>
        <v>0</v>
      </c>
      <c r="P19" s="206"/>
      <c r="Q19" s="207"/>
      <c r="R19" s="203"/>
      <c r="S19" s="203"/>
      <c r="T19" s="161">
        <f t="shared" si="2"/>
        <v>0</v>
      </c>
    </row>
    <row r="20" spans="2:20" ht="24.95" customHeight="1" x14ac:dyDescent="0.25">
      <c r="B20" s="327" t="s">
        <v>213</v>
      </c>
      <c r="C20" s="328"/>
      <c r="D20" s="328"/>
      <c r="E20" s="329" t="s">
        <v>108</v>
      </c>
      <c r="F20" s="330"/>
      <c r="G20" s="331"/>
      <c r="H20" s="332"/>
      <c r="I20" s="330"/>
      <c r="J20" s="335"/>
      <c r="K20" s="406">
        <f>SUM(K21:K26)</f>
        <v>7063.14</v>
      </c>
      <c r="L20" s="406">
        <f t="shared" ref="L20:M20" si="9">SUM(L21:L26)</f>
        <v>14417.630000000001</v>
      </c>
      <c r="M20" s="406">
        <f t="shared" si="9"/>
        <v>21480.77</v>
      </c>
      <c r="N20" s="406"/>
      <c r="O20" s="406"/>
      <c r="P20" s="406"/>
      <c r="Q20" s="406">
        <f t="shared" ref="Q20" si="10">SUM(Q21:Q26)</f>
        <v>8614.2055440000004</v>
      </c>
      <c r="R20" s="406">
        <f t="shared" ref="R20" si="11">SUM(R21:R26)</f>
        <v>17583.741547999998</v>
      </c>
      <c r="S20" s="406">
        <f t="shared" ref="S20" si="12">SUM(S21:S26)</f>
        <v>26197.93</v>
      </c>
      <c r="T20" s="334">
        <f t="shared" si="2"/>
        <v>1.0927079957062861E-2</v>
      </c>
    </row>
    <row r="21" spans="2:20" ht="24.95" customHeight="1" x14ac:dyDescent="0.25">
      <c r="B21" s="162" t="s">
        <v>121</v>
      </c>
      <c r="C21" s="160" t="s">
        <v>261</v>
      </c>
      <c r="D21" s="160" t="s">
        <v>125</v>
      </c>
      <c r="E21" s="163" t="s">
        <v>741</v>
      </c>
      <c r="F21" s="160" t="s">
        <v>120</v>
      </c>
      <c r="G21" s="164">
        <v>5</v>
      </c>
      <c r="H21" s="165">
        <v>0</v>
      </c>
      <c r="I21" s="166">
        <v>859.37</v>
      </c>
      <c r="J21" s="167">
        <f>SUM(H21:I21)</f>
        <v>859.37</v>
      </c>
      <c r="K21" s="168">
        <f t="shared" ref="K21:K25" si="13">+H21*G21</f>
        <v>0</v>
      </c>
      <c r="L21" s="169">
        <f t="shared" ref="L21:L25" si="14">+I21*G21</f>
        <v>4296.8500000000004</v>
      </c>
      <c r="M21" s="170">
        <f t="shared" ref="M21:M25" si="15">TRUNC(SUM(K21:L21),2)</f>
        <v>4296.8500000000004</v>
      </c>
      <c r="N21" s="165">
        <f t="shared" ref="N21:N25" si="16">+H21*(1+$T$10)</f>
        <v>0</v>
      </c>
      <c r="O21" s="166">
        <f t="shared" ref="O21:O25" si="17">+I21*(1+$T$10)</f>
        <v>1048.0876519999999</v>
      </c>
      <c r="P21" s="167">
        <f t="shared" ref="P21:P25" si="18">TRUNC(SUM(N21:O21),2)</f>
        <v>1048.08</v>
      </c>
      <c r="Q21" s="168">
        <f t="shared" ref="Q21:Q25" si="19">+N21*G21</f>
        <v>0</v>
      </c>
      <c r="R21" s="169">
        <f t="shared" ref="R21:R25" si="20">+O21*G21</f>
        <v>5240.4382599999999</v>
      </c>
      <c r="S21" s="169">
        <f t="shared" ref="S21:S25" si="21">TRUNC(SUM(Q21:R21),2)</f>
        <v>5240.43</v>
      </c>
      <c r="T21" s="161">
        <f t="shared" si="2"/>
        <v>2.1857680213433249E-3</v>
      </c>
    </row>
    <row r="22" spans="2:20" ht="36.6" customHeight="1" x14ac:dyDescent="0.25">
      <c r="B22" s="162" t="s">
        <v>122</v>
      </c>
      <c r="C22" s="160" t="s">
        <v>262</v>
      </c>
      <c r="D22" s="160" t="s">
        <v>125</v>
      </c>
      <c r="E22" s="163" t="s">
        <v>742</v>
      </c>
      <c r="F22" s="160" t="s">
        <v>120</v>
      </c>
      <c r="G22" s="164">
        <v>5</v>
      </c>
      <c r="H22" s="165">
        <v>0</v>
      </c>
      <c r="I22" s="166">
        <v>1100</v>
      </c>
      <c r="J22" s="167">
        <f t="shared" ref="J22:J25" si="22">SUM(H22:I22)</f>
        <v>1100</v>
      </c>
      <c r="K22" s="168">
        <f t="shared" si="13"/>
        <v>0</v>
      </c>
      <c r="L22" s="169">
        <f t="shared" si="14"/>
        <v>5500</v>
      </c>
      <c r="M22" s="170">
        <f t="shared" si="15"/>
        <v>5500</v>
      </c>
      <c r="N22" s="165">
        <f t="shared" si="16"/>
        <v>0</v>
      </c>
      <c r="O22" s="166">
        <f t="shared" si="17"/>
        <v>1341.56</v>
      </c>
      <c r="P22" s="167">
        <f t="shared" si="18"/>
        <v>1341.56</v>
      </c>
      <c r="Q22" s="168">
        <f t="shared" si="19"/>
        <v>0</v>
      </c>
      <c r="R22" s="169">
        <f t="shared" si="20"/>
        <v>6707.7999999999993</v>
      </c>
      <c r="S22" s="169">
        <f t="shared" si="21"/>
        <v>6707.8</v>
      </c>
      <c r="T22" s="161">
        <f t="shared" si="2"/>
        <v>2.7978037553343434E-3</v>
      </c>
    </row>
    <row r="23" spans="2:20" ht="24.95" customHeight="1" x14ac:dyDescent="0.25">
      <c r="B23" s="162" t="s">
        <v>123</v>
      </c>
      <c r="C23" s="160" t="s">
        <v>124</v>
      </c>
      <c r="D23" s="160" t="s">
        <v>125</v>
      </c>
      <c r="E23" s="163" t="s">
        <v>126</v>
      </c>
      <c r="F23" s="160" t="s">
        <v>127</v>
      </c>
      <c r="G23" s="164">
        <v>120</v>
      </c>
      <c r="H23" s="165">
        <v>0</v>
      </c>
      <c r="I23" s="166">
        <v>10</v>
      </c>
      <c r="J23" s="167">
        <f t="shared" si="22"/>
        <v>10</v>
      </c>
      <c r="K23" s="168">
        <f t="shared" si="13"/>
        <v>0</v>
      </c>
      <c r="L23" s="169">
        <f t="shared" si="14"/>
        <v>1200</v>
      </c>
      <c r="M23" s="170">
        <f t="shared" si="15"/>
        <v>1200</v>
      </c>
      <c r="N23" s="165">
        <f t="shared" si="16"/>
        <v>0</v>
      </c>
      <c r="O23" s="166">
        <f t="shared" si="17"/>
        <v>12.196</v>
      </c>
      <c r="P23" s="167">
        <f t="shared" si="18"/>
        <v>12.19</v>
      </c>
      <c r="Q23" s="168">
        <f t="shared" si="19"/>
        <v>0</v>
      </c>
      <c r="R23" s="169">
        <f t="shared" si="20"/>
        <v>1463.52</v>
      </c>
      <c r="S23" s="169">
        <f t="shared" si="21"/>
        <v>1463.52</v>
      </c>
      <c r="T23" s="161">
        <f t="shared" si="2"/>
        <v>6.1042991025476588E-4</v>
      </c>
    </row>
    <row r="24" spans="2:20" ht="42.6" customHeight="1" x14ac:dyDescent="0.25">
      <c r="B24" s="162" t="s">
        <v>250</v>
      </c>
      <c r="C24" s="160" t="s">
        <v>128</v>
      </c>
      <c r="D24" s="160" t="s">
        <v>31</v>
      </c>
      <c r="E24" s="163" t="s">
        <v>109</v>
      </c>
      <c r="F24" s="160" t="s">
        <v>8</v>
      </c>
      <c r="G24" s="164">
        <v>1800</v>
      </c>
      <c r="H24" s="165">
        <v>3.89</v>
      </c>
      <c r="I24" s="166">
        <v>1.53</v>
      </c>
      <c r="J24" s="167">
        <f t="shared" si="22"/>
        <v>5.42</v>
      </c>
      <c r="K24" s="168">
        <f t="shared" si="13"/>
        <v>7002</v>
      </c>
      <c r="L24" s="169">
        <f t="shared" si="14"/>
        <v>2754</v>
      </c>
      <c r="M24" s="170">
        <f t="shared" si="15"/>
        <v>9756</v>
      </c>
      <c r="N24" s="165">
        <f t="shared" si="16"/>
        <v>4.7442440000000001</v>
      </c>
      <c r="O24" s="166">
        <f t="shared" si="17"/>
        <v>1.865988</v>
      </c>
      <c r="P24" s="167">
        <f t="shared" si="18"/>
        <v>6.61</v>
      </c>
      <c r="Q24" s="168">
        <f t="shared" si="19"/>
        <v>8539.6391999999996</v>
      </c>
      <c r="R24" s="169">
        <f t="shared" si="20"/>
        <v>3358.7784000000001</v>
      </c>
      <c r="S24" s="169">
        <f t="shared" si="21"/>
        <v>11898.41</v>
      </c>
      <c r="T24" s="161">
        <f t="shared" si="2"/>
        <v>4.9627920004334811E-3</v>
      </c>
    </row>
    <row r="25" spans="2:20" ht="24.95" customHeight="1" x14ac:dyDescent="0.25">
      <c r="B25" s="162" t="s">
        <v>251</v>
      </c>
      <c r="C25" s="160" t="s">
        <v>743</v>
      </c>
      <c r="D25" s="160" t="s">
        <v>125</v>
      </c>
      <c r="E25" s="163" t="s">
        <v>738</v>
      </c>
      <c r="F25" s="160" t="s">
        <v>2</v>
      </c>
      <c r="G25" s="164">
        <v>1.5</v>
      </c>
      <c r="H25" s="165">
        <v>40.76</v>
      </c>
      <c r="I25" s="166">
        <v>288.89999999999998</v>
      </c>
      <c r="J25" s="167">
        <f t="shared" si="22"/>
        <v>329.65999999999997</v>
      </c>
      <c r="K25" s="168">
        <f t="shared" si="13"/>
        <v>61.14</v>
      </c>
      <c r="L25" s="169">
        <f t="shared" si="14"/>
        <v>433.34999999999997</v>
      </c>
      <c r="M25" s="170">
        <f t="shared" si="15"/>
        <v>494.49</v>
      </c>
      <c r="N25" s="165">
        <f t="shared" si="16"/>
        <v>49.710895999999998</v>
      </c>
      <c r="O25" s="166">
        <f t="shared" si="17"/>
        <v>352.34243999999995</v>
      </c>
      <c r="P25" s="167">
        <f t="shared" si="18"/>
        <v>402.05</v>
      </c>
      <c r="Q25" s="168">
        <f t="shared" si="19"/>
        <v>74.566344000000001</v>
      </c>
      <c r="R25" s="169">
        <f t="shared" si="20"/>
        <v>528.51365999999996</v>
      </c>
      <c r="S25" s="169">
        <f t="shared" si="21"/>
        <v>603.08000000000004</v>
      </c>
      <c r="T25" s="161">
        <f t="shared" si="2"/>
        <v>2.5154290359984436E-4</v>
      </c>
    </row>
    <row r="26" spans="2:20" ht="24.95" customHeight="1" x14ac:dyDescent="0.25">
      <c r="B26" s="162" t="s">
        <v>1296</v>
      </c>
      <c r="C26" s="160" t="s">
        <v>1297</v>
      </c>
      <c r="D26" s="160" t="s">
        <v>125</v>
      </c>
      <c r="E26" s="163" t="s">
        <v>1298</v>
      </c>
      <c r="F26" s="160" t="s">
        <v>22</v>
      </c>
      <c r="G26" s="164">
        <v>1</v>
      </c>
      <c r="H26" s="165">
        <v>0</v>
      </c>
      <c r="I26" s="166">
        <v>233.43</v>
      </c>
      <c r="J26" s="167">
        <f t="shared" ref="J26" si="23">SUM(H26:I26)</f>
        <v>233.43</v>
      </c>
      <c r="K26" s="168">
        <f t="shared" ref="K26" si="24">+H26*G26</f>
        <v>0</v>
      </c>
      <c r="L26" s="169">
        <f t="shared" ref="L26" si="25">+I26*G26</f>
        <v>233.43</v>
      </c>
      <c r="M26" s="170">
        <f t="shared" ref="M26" si="26">TRUNC(SUM(K26:L26),2)</f>
        <v>233.43</v>
      </c>
      <c r="N26" s="165">
        <f t="shared" ref="N26" si="27">+H26*(1+$T$10)</f>
        <v>0</v>
      </c>
      <c r="O26" s="166">
        <f t="shared" ref="O26" si="28">+I26*(1+$T$10)</f>
        <v>284.69122800000002</v>
      </c>
      <c r="P26" s="167">
        <f t="shared" ref="P26" si="29">TRUNC(SUM(N26:O26),2)</f>
        <v>284.69</v>
      </c>
      <c r="Q26" s="168">
        <f t="shared" ref="Q26" si="30">+N26*G26</f>
        <v>0</v>
      </c>
      <c r="R26" s="169">
        <f t="shared" ref="R26" si="31">+O26*G26</f>
        <v>284.69122800000002</v>
      </c>
      <c r="S26" s="169">
        <f t="shared" ref="S26" si="32">TRUNC(SUM(Q26:R26),2)</f>
        <v>284.69</v>
      </c>
      <c r="T26" s="161">
        <f t="shared" si="2"/>
        <v>1.1874336609710102E-4</v>
      </c>
    </row>
    <row r="27" spans="2:20" ht="24.95" customHeight="1" x14ac:dyDescent="0.25">
      <c r="B27" s="205"/>
      <c r="C27" s="160"/>
      <c r="D27" s="160"/>
      <c r="E27" s="209"/>
      <c r="F27" s="203"/>
      <c r="G27" s="204"/>
      <c r="H27" s="205"/>
      <c r="I27" s="203"/>
      <c r="J27" s="206"/>
      <c r="K27" s="207"/>
      <c r="L27" s="203"/>
      <c r="M27" s="208"/>
      <c r="N27" s="205">
        <f t="shared" ref="N27:N76" si="33">+H27*(1+$T$10)</f>
        <v>0</v>
      </c>
      <c r="O27" s="203">
        <f t="shared" ref="O27:O76" si="34">+I27*(1+$T$10)</f>
        <v>0</v>
      </c>
      <c r="P27" s="206"/>
      <c r="Q27" s="207"/>
      <c r="R27" s="203"/>
      <c r="S27" s="203"/>
      <c r="T27" s="161">
        <f t="shared" si="2"/>
        <v>0</v>
      </c>
    </row>
    <row r="28" spans="2:20" ht="24.95" customHeight="1" x14ac:dyDescent="0.25">
      <c r="B28" s="327">
        <v>3</v>
      </c>
      <c r="C28" s="328"/>
      <c r="D28" s="328"/>
      <c r="E28" s="329" t="s">
        <v>107</v>
      </c>
      <c r="F28" s="330"/>
      <c r="G28" s="331"/>
      <c r="H28" s="332"/>
      <c r="I28" s="330"/>
      <c r="J28" s="333"/>
      <c r="K28" s="391">
        <f>SUM(K29:K41)</f>
        <v>47227.869500000001</v>
      </c>
      <c r="L28" s="391">
        <f t="shared" ref="L28:M28" si="35">SUM(L29:L41)</f>
        <v>26628.441350000001</v>
      </c>
      <c r="M28" s="391">
        <f t="shared" si="35"/>
        <v>73856.28</v>
      </c>
      <c r="N28" s="403">
        <f t="shared" si="33"/>
        <v>0</v>
      </c>
      <c r="O28" s="404">
        <f t="shared" si="34"/>
        <v>0</v>
      </c>
      <c r="P28" s="405"/>
      <c r="Q28" s="391">
        <f>SUM(Q29:Q41)</f>
        <v>57599.109642200005</v>
      </c>
      <c r="R28" s="391">
        <f t="shared" ref="R28" si="36">SUM(R29:R41)</f>
        <v>32476.047070460005</v>
      </c>
      <c r="S28" s="391">
        <f t="shared" ref="S28" si="37">SUM(S29:S41)</f>
        <v>90075.099999999991</v>
      </c>
      <c r="T28" s="334">
        <f t="shared" si="2"/>
        <v>3.7570060681910086E-2</v>
      </c>
    </row>
    <row r="29" spans="2:20" ht="24.95" customHeight="1" x14ac:dyDescent="0.25">
      <c r="B29" s="162" t="s">
        <v>129</v>
      </c>
      <c r="C29" s="160" t="s">
        <v>744</v>
      </c>
      <c r="D29" s="171" t="s">
        <v>214</v>
      </c>
      <c r="E29" s="163" t="s">
        <v>731</v>
      </c>
      <c r="F29" s="160" t="s">
        <v>2</v>
      </c>
      <c r="G29" s="164">
        <v>2480.1999999999998</v>
      </c>
      <c r="H29" s="165">
        <v>8.1999999999999993</v>
      </c>
      <c r="I29" s="166">
        <v>3.45</v>
      </c>
      <c r="J29" s="167">
        <f t="shared" ref="J29:J30" si="38">TRUNC(SUM(H29:I29),2)</f>
        <v>11.65</v>
      </c>
      <c r="K29" s="168">
        <f t="shared" ref="K29:K30" si="39">+H29*G29</f>
        <v>20337.639999999996</v>
      </c>
      <c r="L29" s="169">
        <f t="shared" ref="L29:L30" si="40">+I29*G29</f>
        <v>8556.69</v>
      </c>
      <c r="M29" s="170">
        <f t="shared" ref="M29:M30" si="41">TRUNC(SUM(K29:L29),2)</f>
        <v>28894.33</v>
      </c>
      <c r="N29" s="165">
        <f t="shared" si="33"/>
        <v>10.000719999999999</v>
      </c>
      <c r="O29" s="166">
        <f t="shared" si="34"/>
        <v>4.2076200000000004</v>
      </c>
      <c r="P29" s="167">
        <f t="shared" ref="P29:P30" si="42">TRUNC(SUM(N29:O29),2)</f>
        <v>14.2</v>
      </c>
      <c r="Q29" s="168">
        <f t="shared" ref="Q29:Q30" si="43">+N29*G29</f>
        <v>24803.785743999997</v>
      </c>
      <c r="R29" s="169">
        <f t="shared" ref="R29:R30" si="44">+O29*G29</f>
        <v>10435.739124</v>
      </c>
      <c r="S29" s="169">
        <f t="shared" ref="S29:S30" si="45">TRUNC(SUM(Q29:R29),2)</f>
        <v>35239.519999999997</v>
      </c>
      <c r="T29" s="161">
        <f t="shared" si="2"/>
        <v>1.4698300693547765E-2</v>
      </c>
    </row>
    <row r="30" spans="2:20" ht="24.95" customHeight="1" x14ac:dyDescent="0.25">
      <c r="B30" s="162" t="s">
        <v>130</v>
      </c>
      <c r="C30" s="160" t="s">
        <v>409</v>
      </c>
      <c r="D30" s="171" t="s">
        <v>214</v>
      </c>
      <c r="E30" s="163" t="s">
        <v>410</v>
      </c>
      <c r="F30" s="160" t="s">
        <v>22</v>
      </c>
      <c r="G30" s="164">
        <v>25</v>
      </c>
      <c r="H30" s="165">
        <v>0</v>
      </c>
      <c r="I30" s="166">
        <v>350</v>
      </c>
      <c r="J30" s="167">
        <f t="shared" si="38"/>
        <v>350</v>
      </c>
      <c r="K30" s="168">
        <f t="shared" si="39"/>
        <v>0</v>
      </c>
      <c r="L30" s="169">
        <f t="shared" si="40"/>
        <v>8750</v>
      </c>
      <c r="M30" s="170">
        <f t="shared" si="41"/>
        <v>8750</v>
      </c>
      <c r="N30" s="165">
        <f t="shared" si="33"/>
        <v>0</v>
      </c>
      <c r="O30" s="166">
        <f t="shared" si="34"/>
        <v>426.86</v>
      </c>
      <c r="P30" s="167">
        <f t="shared" si="42"/>
        <v>426.86</v>
      </c>
      <c r="Q30" s="168">
        <f t="shared" si="43"/>
        <v>0</v>
      </c>
      <c r="R30" s="169">
        <f t="shared" si="44"/>
        <v>10671.5</v>
      </c>
      <c r="S30" s="169">
        <f t="shared" si="45"/>
        <v>10671.5</v>
      </c>
      <c r="T30" s="161">
        <f t="shared" si="2"/>
        <v>4.4510514289410009E-3</v>
      </c>
    </row>
    <row r="31" spans="2:20" ht="24.95" customHeight="1" x14ac:dyDescent="0.25">
      <c r="B31" s="162" t="s">
        <v>1350</v>
      </c>
      <c r="C31" s="160" t="s">
        <v>1340</v>
      </c>
      <c r="D31" s="171" t="s">
        <v>31</v>
      </c>
      <c r="E31" s="163" t="s">
        <v>1341</v>
      </c>
      <c r="F31" s="160" t="s">
        <v>22</v>
      </c>
      <c r="G31" s="164">
        <v>244</v>
      </c>
      <c r="H31" s="165">
        <v>0.72</v>
      </c>
      <c r="I31" s="166">
        <v>0.31</v>
      </c>
      <c r="J31" s="167">
        <f t="shared" ref="J31:J35" si="46">TRUNC(SUM(H31:I31),2)</f>
        <v>1.03</v>
      </c>
      <c r="K31" s="168">
        <f t="shared" ref="K31:K35" si="47">+H31*G31</f>
        <v>175.68</v>
      </c>
      <c r="L31" s="169">
        <f t="shared" ref="L31:L35" si="48">+I31*G31</f>
        <v>75.64</v>
      </c>
      <c r="M31" s="170">
        <f t="shared" ref="M31:M35" si="49">TRUNC(SUM(K31:L31),2)</f>
        <v>251.32</v>
      </c>
      <c r="N31" s="165">
        <f t="shared" ref="N31:N35" si="50">+H31*(1+$T$10)</f>
        <v>0.878112</v>
      </c>
      <c r="O31" s="166">
        <f t="shared" ref="O31:O35" si="51">+I31*(1+$T$10)</f>
        <v>0.37807600000000002</v>
      </c>
      <c r="P31" s="167">
        <f t="shared" ref="P31:P35" si="52">TRUNC(SUM(N31:O31),2)</f>
        <v>1.25</v>
      </c>
      <c r="Q31" s="168">
        <f t="shared" ref="Q31:Q35" si="53">+N31*G31</f>
        <v>214.25932800000001</v>
      </c>
      <c r="R31" s="169">
        <f t="shared" ref="R31:R35" si="54">+O31*G31</f>
        <v>92.250544000000005</v>
      </c>
      <c r="S31" s="169">
        <f t="shared" ref="S31:S35" si="55">TRUNC(SUM(Q31:R31),2)</f>
        <v>306.5</v>
      </c>
      <c r="T31" s="161">
        <f t="shared" si="2"/>
        <v>1.2784025328870514E-4</v>
      </c>
    </row>
    <row r="32" spans="2:20" ht="24.95" customHeight="1" x14ac:dyDescent="0.25">
      <c r="B32" s="162" t="s">
        <v>1351</v>
      </c>
      <c r="C32" s="160" t="s">
        <v>1342</v>
      </c>
      <c r="D32" s="171" t="s">
        <v>267</v>
      </c>
      <c r="E32" s="163" t="s">
        <v>1348</v>
      </c>
      <c r="F32" s="160" t="s">
        <v>22</v>
      </c>
      <c r="G32" s="164">
        <v>813</v>
      </c>
      <c r="H32" s="165">
        <v>3.34</v>
      </c>
      <c r="I32" s="166">
        <v>0</v>
      </c>
      <c r="J32" s="167">
        <f t="shared" si="46"/>
        <v>3.34</v>
      </c>
      <c r="K32" s="168">
        <f t="shared" si="47"/>
        <v>2715.42</v>
      </c>
      <c r="L32" s="169">
        <f t="shared" si="48"/>
        <v>0</v>
      </c>
      <c r="M32" s="170">
        <f t="shared" si="49"/>
        <v>2715.42</v>
      </c>
      <c r="N32" s="165">
        <f t="shared" si="50"/>
        <v>4.0734639999999995</v>
      </c>
      <c r="O32" s="166">
        <f t="shared" si="51"/>
        <v>0</v>
      </c>
      <c r="P32" s="167">
        <f t="shared" si="52"/>
        <v>4.07</v>
      </c>
      <c r="Q32" s="168">
        <f t="shared" si="53"/>
        <v>3311.7262319999995</v>
      </c>
      <c r="R32" s="169">
        <f t="shared" si="54"/>
        <v>0</v>
      </c>
      <c r="S32" s="169">
        <f t="shared" si="55"/>
        <v>3311.72</v>
      </c>
      <c r="T32" s="161">
        <f t="shared" si="2"/>
        <v>1.3813087230710294E-3</v>
      </c>
    </row>
    <row r="33" spans="2:23" ht="24.95" customHeight="1" x14ac:dyDescent="0.25">
      <c r="B33" s="162" t="s">
        <v>1352</v>
      </c>
      <c r="C33" s="160" t="s">
        <v>1344</v>
      </c>
      <c r="D33" s="171" t="s">
        <v>31</v>
      </c>
      <c r="E33" s="163" t="s">
        <v>1345</v>
      </c>
      <c r="F33" s="160" t="s">
        <v>22</v>
      </c>
      <c r="G33" s="164">
        <f>G76+G77+G78+G79+G80+G81+G82+G83+G84+G85</f>
        <v>1112</v>
      </c>
      <c r="H33" s="165">
        <v>0.38</v>
      </c>
      <c r="I33" s="166">
        <v>0.15</v>
      </c>
      <c r="J33" s="167">
        <f t="shared" si="46"/>
        <v>0.53</v>
      </c>
      <c r="K33" s="168">
        <f t="shared" si="47"/>
        <v>422.56</v>
      </c>
      <c r="L33" s="169">
        <f t="shared" si="48"/>
        <v>166.79999999999998</v>
      </c>
      <c r="M33" s="170">
        <f t="shared" si="49"/>
        <v>589.36</v>
      </c>
      <c r="N33" s="165">
        <f t="shared" si="50"/>
        <v>0.46344800000000003</v>
      </c>
      <c r="O33" s="166">
        <f t="shared" si="51"/>
        <v>0.18293999999999999</v>
      </c>
      <c r="P33" s="167">
        <f t="shared" si="52"/>
        <v>0.64</v>
      </c>
      <c r="Q33" s="168">
        <f t="shared" si="53"/>
        <v>515.35417600000005</v>
      </c>
      <c r="R33" s="169">
        <f t="shared" si="54"/>
        <v>203.42927999999998</v>
      </c>
      <c r="S33" s="169">
        <f t="shared" si="55"/>
        <v>718.78</v>
      </c>
      <c r="T33" s="161">
        <f t="shared" si="2"/>
        <v>2.9980103510230169E-4</v>
      </c>
    </row>
    <row r="34" spans="2:23" ht="24.95" customHeight="1" x14ac:dyDescent="0.25">
      <c r="B34" s="162" t="s">
        <v>1353</v>
      </c>
      <c r="C34" s="160" t="s">
        <v>1412</v>
      </c>
      <c r="D34" s="171" t="s">
        <v>125</v>
      </c>
      <c r="E34" s="163" t="s">
        <v>1413</v>
      </c>
      <c r="F34" s="160" t="s">
        <v>35</v>
      </c>
      <c r="G34" s="164">
        <f>SUM(G61:G66)+G71</f>
        <v>43291.100000000006</v>
      </c>
      <c r="H34" s="165">
        <v>0.27</v>
      </c>
      <c r="I34" s="166">
        <v>0.1</v>
      </c>
      <c r="J34" s="167">
        <f t="shared" si="46"/>
        <v>0.37</v>
      </c>
      <c r="K34" s="168">
        <f t="shared" si="47"/>
        <v>11688.597000000002</v>
      </c>
      <c r="L34" s="169">
        <f t="shared" si="48"/>
        <v>4329.1100000000006</v>
      </c>
      <c r="M34" s="170">
        <f t="shared" si="49"/>
        <v>16017.7</v>
      </c>
      <c r="N34" s="165">
        <f t="shared" si="50"/>
        <v>0.32929200000000003</v>
      </c>
      <c r="O34" s="166">
        <f t="shared" si="51"/>
        <v>0.12196000000000001</v>
      </c>
      <c r="P34" s="167">
        <f t="shared" si="52"/>
        <v>0.45</v>
      </c>
      <c r="Q34" s="168">
        <f t="shared" si="53"/>
        <v>14255.412901200003</v>
      </c>
      <c r="R34" s="169">
        <f t="shared" si="54"/>
        <v>5279.782556000001</v>
      </c>
      <c r="S34" s="169">
        <f t="shared" si="55"/>
        <v>19535.189999999999</v>
      </c>
      <c r="T34" s="161">
        <f t="shared" si="2"/>
        <v>8.1480705958987907E-3</v>
      </c>
    </row>
    <row r="35" spans="2:23" ht="24.95" customHeight="1" x14ac:dyDescent="0.25">
      <c r="B35" s="162" t="s">
        <v>1354</v>
      </c>
      <c r="C35" s="160" t="s">
        <v>1346</v>
      </c>
      <c r="D35" s="171" t="s">
        <v>177</v>
      </c>
      <c r="E35" s="163" t="s">
        <v>1349</v>
      </c>
      <c r="F35" s="160" t="s">
        <v>227</v>
      </c>
      <c r="G35" s="164">
        <f>G122+G124+G125+G126</f>
        <v>24</v>
      </c>
      <c r="H35" s="165">
        <v>28.06</v>
      </c>
      <c r="I35" s="166">
        <v>7.15</v>
      </c>
      <c r="J35" s="167">
        <f t="shared" si="46"/>
        <v>35.21</v>
      </c>
      <c r="K35" s="168">
        <f t="shared" si="47"/>
        <v>673.43999999999994</v>
      </c>
      <c r="L35" s="169">
        <f t="shared" si="48"/>
        <v>171.60000000000002</v>
      </c>
      <c r="M35" s="170">
        <f t="shared" si="49"/>
        <v>845.04</v>
      </c>
      <c r="N35" s="165">
        <f t="shared" si="50"/>
        <v>34.221975999999998</v>
      </c>
      <c r="O35" s="166">
        <f t="shared" si="51"/>
        <v>8.7201400000000007</v>
      </c>
      <c r="P35" s="167">
        <f t="shared" si="52"/>
        <v>42.94</v>
      </c>
      <c r="Q35" s="168">
        <f t="shared" si="53"/>
        <v>821.32742399999995</v>
      </c>
      <c r="R35" s="169">
        <f t="shared" si="54"/>
        <v>209.28336000000002</v>
      </c>
      <c r="S35" s="169">
        <f t="shared" si="55"/>
        <v>1030.6099999999999</v>
      </c>
      <c r="T35" s="161">
        <f t="shared" si="2"/>
        <v>4.2986441579729976E-4</v>
      </c>
    </row>
    <row r="36" spans="2:23" ht="24.95" customHeight="1" x14ac:dyDescent="0.25">
      <c r="B36" s="162" t="s">
        <v>1355</v>
      </c>
      <c r="C36" s="160">
        <v>90447</v>
      </c>
      <c r="D36" s="171" t="s">
        <v>31</v>
      </c>
      <c r="E36" s="163" t="s">
        <v>1399</v>
      </c>
      <c r="F36" s="160" t="s">
        <v>35</v>
      </c>
      <c r="G36" s="164">
        <f>312.3+117</f>
        <v>429.3</v>
      </c>
      <c r="H36" s="165">
        <v>4.07</v>
      </c>
      <c r="I36" s="166">
        <v>1.42</v>
      </c>
      <c r="J36" s="167">
        <f t="shared" ref="J36" si="56">TRUNC(SUM(H36:I36),2)</f>
        <v>5.49</v>
      </c>
      <c r="K36" s="168">
        <f t="shared" ref="K36" si="57">+H36*G36</f>
        <v>1747.2510000000002</v>
      </c>
      <c r="L36" s="169">
        <f t="shared" ref="L36" si="58">+I36*G36</f>
        <v>609.60599999999999</v>
      </c>
      <c r="M36" s="170">
        <f t="shared" ref="M36" si="59">TRUNC(SUM(K36:L36),2)</f>
        <v>2356.85</v>
      </c>
      <c r="N36" s="165">
        <f t="shared" ref="N36" si="60">+H36*(1+$T$10)</f>
        <v>4.9637720000000005</v>
      </c>
      <c r="O36" s="166">
        <f t="shared" ref="O36" si="61">+I36*(1+$T$10)</f>
        <v>1.731832</v>
      </c>
      <c r="P36" s="167">
        <f t="shared" ref="P36" si="62">TRUNC(SUM(N36:O36),2)</f>
        <v>6.69</v>
      </c>
      <c r="Q36" s="168">
        <f t="shared" ref="Q36" si="63">+N36*G36</f>
        <v>2130.9473196000004</v>
      </c>
      <c r="R36" s="169">
        <f t="shared" ref="R36" si="64">+O36*G36</f>
        <v>743.47547760000009</v>
      </c>
      <c r="S36" s="169">
        <f t="shared" ref="S36" si="65">TRUNC(SUM(Q36:R36),2)</f>
        <v>2874.42</v>
      </c>
      <c r="T36" s="161">
        <f t="shared" si="2"/>
        <v>1.1989121724571609E-3</v>
      </c>
    </row>
    <row r="37" spans="2:23" ht="24.95" customHeight="1" x14ac:dyDescent="0.25">
      <c r="B37" s="162" t="s">
        <v>1385</v>
      </c>
      <c r="C37" s="160">
        <v>97641</v>
      </c>
      <c r="D37" s="171" t="s">
        <v>31</v>
      </c>
      <c r="E37" s="163" t="s">
        <v>1422</v>
      </c>
      <c r="F37" s="160" t="s">
        <v>2</v>
      </c>
      <c r="G37" s="164">
        <v>180</v>
      </c>
      <c r="H37" s="165">
        <v>2.79</v>
      </c>
      <c r="I37" s="166">
        <v>1.19</v>
      </c>
      <c r="J37" s="167">
        <f t="shared" ref="J37" si="66">TRUNC(SUM(H37:I37),2)</f>
        <v>3.98</v>
      </c>
      <c r="K37" s="168">
        <f t="shared" ref="K37" si="67">+H37*G37</f>
        <v>502.2</v>
      </c>
      <c r="L37" s="169">
        <f t="shared" ref="L37" si="68">+I37*G37</f>
        <v>214.2</v>
      </c>
      <c r="M37" s="170">
        <f t="shared" ref="M37" si="69">TRUNC(SUM(K37:L37),2)</f>
        <v>716.4</v>
      </c>
      <c r="N37" s="165">
        <f t="shared" ref="N37" si="70">+H37*(1+$T$10)</f>
        <v>3.4026840000000003</v>
      </c>
      <c r="O37" s="166">
        <f t="shared" ref="O37" si="71">+I37*(1+$T$10)</f>
        <v>1.4513240000000001</v>
      </c>
      <c r="P37" s="167">
        <f t="shared" ref="P37" si="72">TRUNC(SUM(N37:O37),2)</f>
        <v>4.8499999999999996</v>
      </c>
      <c r="Q37" s="168">
        <f t="shared" ref="Q37" si="73">+N37*G37</f>
        <v>612.4831200000001</v>
      </c>
      <c r="R37" s="169">
        <f t="shared" ref="R37" si="74">+O37*G37</f>
        <v>261.23831999999999</v>
      </c>
      <c r="S37" s="169">
        <f t="shared" ref="S37" si="75">TRUNC(SUM(Q37:R37),2)</f>
        <v>873.72</v>
      </c>
      <c r="T37" s="161">
        <f t="shared" si="2"/>
        <v>3.6442605580230814E-4</v>
      </c>
    </row>
    <row r="38" spans="2:23" ht="24.95" customHeight="1" x14ac:dyDescent="0.25">
      <c r="B38" s="162" t="s">
        <v>1423</v>
      </c>
      <c r="C38" s="160" t="s">
        <v>1502</v>
      </c>
      <c r="D38" s="171" t="s">
        <v>31</v>
      </c>
      <c r="E38" s="163" t="s">
        <v>1503</v>
      </c>
      <c r="F38" s="160" t="s">
        <v>8</v>
      </c>
      <c r="G38" s="164">
        <v>23.625</v>
      </c>
      <c r="H38" s="165">
        <v>46.95</v>
      </c>
      <c r="I38" s="166">
        <v>22</v>
      </c>
      <c r="J38" s="167">
        <f t="shared" ref="J38:J40" si="76">TRUNC(SUM(H38:I38),2)</f>
        <v>68.95</v>
      </c>
      <c r="K38" s="168">
        <f t="shared" ref="K38:K40" si="77">+H38*G38</f>
        <v>1109.1937500000001</v>
      </c>
      <c r="L38" s="169">
        <f t="shared" ref="L38:L40" si="78">+I38*G38</f>
        <v>519.75</v>
      </c>
      <c r="M38" s="170">
        <f t="shared" ref="M38:M40" si="79">TRUNC(SUM(K38:L38),2)</f>
        <v>1628.94</v>
      </c>
      <c r="N38" s="165">
        <f t="shared" ref="N38:N40" si="80">+H38*(1+$T$10)</f>
        <v>57.260220000000004</v>
      </c>
      <c r="O38" s="166">
        <f t="shared" ref="O38:O40" si="81">+I38*(1+$T$10)</f>
        <v>26.831199999999999</v>
      </c>
      <c r="P38" s="167">
        <f t="shared" ref="P38:P40" si="82">TRUNC(SUM(N38:O38),2)</f>
        <v>84.09</v>
      </c>
      <c r="Q38" s="168">
        <f t="shared" ref="Q38:Q40" si="83">+N38*G38</f>
        <v>1352.7726975</v>
      </c>
      <c r="R38" s="169">
        <f t="shared" ref="R38:R40" si="84">+O38*G38</f>
        <v>633.88710000000003</v>
      </c>
      <c r="S38" s="169">
        <f t="shared" ref="S38:S40" si="85">TRUNC(SUM(Q38:R38),2)</f>
        <v>1986.65</v>
      </c>
      <c r="T38" s="161">
        <f t="shared" si="2"/>
        <v>8.2862590276021558E-4</v>
      </c>
      <c r="V38" s="202" t="s">
        <v>1436</v>
      </c>
    </row>
    <row r="39" spans="2:23" ht="24.95" customHeight="1" x14ac:dyDescent="0.25">
      <c r="B39" s="162" t="s">
        <v>1511</v>
      </c>
      <c r="C39" s="160" t="s">
        <v>1504</v>
      </c>
      <c r="D39" s="171" t="s">
        <v>31</v>
      </c>
      <c r="E39" s="163" t="s">
        <v>1505</v>
      </c>
      <c r="F39" s="160" t="s">
        <v>8</v>
      </c>
      <c r="G39" s="164">
        <v>23.625</v>
      </c>
      <c r="H39" s="165">
        <v>28.47</v>
      </c>
      <c r="I39" s="166">
        <v>13.33</v>
      </c>
      <c r="J39" s="167">
        <f t="shared" si="76"/>
        <v>41.8</v>
      </c>
      <c r="K39" s="168">
        <f t="shared" si="77"/>
        <v>672.60374999999999</v>
      </c>
      <c r="L39" s="169">
        <f t="shared" si="78"/>
        <v>314.92124999999999</v>
      </c>
      <c r="M39" s="170">
        <f t="shared" si="79"/>
        <v>987.52</v>
      </c>
      <c r="N39" s="165">
        <f t="shared" si="80"/>
        <v>34.722011999999999</v>
      </c>
      <c r="O39" s="166">
        <f t="shared" si="81"/>
        <v>16.257268</v>
      </c>
      <c r="P39" s="167">
        <f t="shared" si="82"/>
        <v>50.97</v>
      </c>
      <c r="Q39" s="168">
        <f t="shared" si="83"/>
        <v>820.30753349999998</v>
      </c>
      <c r="R39" s="169">
        <f t="shared" si="84"/>
        <v>384.07795649999997</v>
      </c>
      <c r="S39" s="169">
        <f t="shared" si="85"/>
        <v>1204.3800000000001</v>
      </c>
      <c r="T39" s="161">
        <f t="shared" si="2"/>
        <v>5.0234337440734328E-4</v>
      </c>
      <c r="V39" s="202" t="s">
        <v>1437</v>
      </c>
    </row>
    <row r="40" spans="2:23" ht="24.95" customHeight="1" x14ac:dyDescent="0.25">
      <c r="B40" s="162" t="s">
        <v>1512</v>
      </c>
      <c r="C40" s="160" t="s">
        <v>1506</v>
      </c>
      <c r="D40" s="171" t="s">
        <v>177</v>
      </c>
      <c r="E40" s="163" t="s">
        <v>1507</v>
      </c>
      <c r="F40" s="160" t="s">
        <v>2</v>
      </c>
      <c r="G40" s="164">
        <v>170.22</v>
      </c>
      <c r="H40" s="165">
        <v>13.3</v>
      </c>
      <c r="I40" s="166">
        <v>3.98</v>
      </c>
      <c r="J40" s="167">
        <f t="shared" si="76"/>
        <v>17.28</v>
      </c>
      <c r="K40" s="168">
        <f t="shared" si="77"/>
        <v>2263.9259999999999</v>
      </c>
      <c r="L40" s="169">
        <f t="shared" si="78"/>
        <v>677.47559999999999</v>
      </c>
      <c r="M40" s="170">
        <f t="shared" si="79"/>
        <v>2941.4</v>
      </c>
      <c r="N40" s="165">
        <f t="shared" si="80"/>
        <v>16.220680000000002</v>
      </c>
      <c r="O40" s="166">
        <f t="shared" si="81"/>
        <v>4.8540080000000003</v>
      </c>
      <c r="P40" s="167">
        <f t="shared" si="82"/>
        <v>21.07</v>
      </c>
      <c r="Q40" s="168">
        <f t="shared" si="83"/>
        <v>2761.0841496000003</v>
      </c>
      <c r="R40" s="169">
        <f t="shared" si="84"/>
        <v>826.24924176000002</v>
      </c>
      <c r="S40" s="169">
        <f t="shared" si="85"/>
        <v>3587.33</v>
      </c>
      <c r="T40" s="161">
        <f t="shared" si="2"/>
        <v>1.4962648477330198E-3</v>
      </c>
      <c r="V40" s="202" t="s">
        <v>1438</v>
      </c>
    </row>
    <row r="41" spans="2:23" ht="24.95" customHeight="1" x14ac:dyDescent="0.25">
      <c r="B41" s="162" t="s">
        <v>1515</v>
      </c>
      <c r="C41" s="160" t="s">
        <v>1513</v>
      </c>
      <c r="D41" s="171" t="s">
        <v>214</v>
      </c>
      <c r="E41" s="163" t="s">
        <v>1514</v>
      </c>
      <c r="F41" s="160" t="s">
        <v>2</v>
      </c>
      <c r="G41" s="164">
        <v>425.55</v>
      </c>
      <c r="H41" s="165">
        <v>11.56</v>
      </c>
      <c r="I41" s="166">
        <v>5.27</v>
      </c>
      <c r="J41" s="167">
        <f t="shared" ref="J41" si="86">TRUNC(SUM(H41:I41),2)</f>
        <v>16.829999999999998</v>
      </c>
      <c r="K41" s="168">
        <f t="shared" ref="K41" si="87">+H41*G41</f>
        <v>4919.3580000000002</v>
      </c>
      <c r="L41" s="169">
        <f t="shared" ref="L41" si="88">+I41*G41</f>
        <v>2242.6484999999998</v>
      </c>
      <c r="M41" s="170">
        <f t="shared" ref="M41" si="89">TRUNC(SUM(K41:L41),2)</f>
        <v>7162</v>
      </c>
      <c r="N41" s="165">
        <f t="shared" ref="N41" si="90">+H41*(1+$T$10)</f>
        <v>14.098576000000001</v>
      </c>
      <c r="O41" s="166">
        <f t="shared" ref="O41" si="91">+I41*(1+$T$10)</f>
        <v>6.4272919999999996</v>
      </c>
      <c r="P41" s="167">
        <f t="shared" ref="P41" si="92">TRUNC(SUM(N41:O41),2)</f>
        <v>20.52</v>
      </c>
      <c r="Q41" s="168">
        <f t="shared" ref="Q41" si="93">+N41*G41</f>
        <v>5999.6490168000009</v>
      </c>
      <c r="R41" s="169">
        <f t="shared" ref="R41" si="94">+O41*G41</f>
        <v>2735.1341106</v>
      </c>
      <c r="S41" s="169">
        <f t="shared" ref="S41" si="95">TRUNC(SUM(Q41:R41),2)</f>
        <v>8734.7800000000007</v>
      </c>
      <c r="T41" s="161">
        <f t="shared" si="2"/>
        <v>3.6432511831031513E-3</v>
      </c>
    </row>
    <row r="42" spans="2:23" ht="24.95" customHeight="1" x14ac:dyDescent="0.25">
      <c r="B42" s="162"/>
      <c r="C42" s="160"/>
      <c r="D42" s="171"/>
      <c r="E42" s="163"/>
      <c r="F42" s="160"/>
      <c r="G42" s="164"/>
      <c r="H42" s="165"/>
      <c r="I42" s="166"/>
      <c r="J42" s="167"/>
      <c r="K42" s="168"/>
      <c r="L42" s="168"/>
      <c r="M42" s="426"/>
      <c r="N42" s="165"/>
      <c r="O42" s="166"/>
      <c r="P42" s="167"/>
      <c r="Q42" s="168"/>
      <c r="R42" s="168"/>
      <c r="S42" s="168"/>
      <c r="T42" s="161"/>
    </row>
    <row r="43" spans="2:23" ht="24.95" customHeight="1" x14ac:dyDescent="0.25">
      <c r="B43" s="327" t="s">
        <v>254</v>
      </c>
      <c r="C43" s="328"/>
      <c r="D43" s="328"/>
      <c r="E43" s="329" t="s">
        <v>226</v>
      </c>
      <c r="F43" s="330"/>
      <c r="G43" s="331"/>
      <c r="H43" s="332"/>
      <c r="I43" s="330"/>
      <c r="J43" s="333"/>
      <c r="K43" s="391">
        <f>SUM(K44:K49)</f>
        <v>29724.305999999997</v>
      </c>
      <c r="L43" s="391">
        <f>SUM(L44:L49)</f>
        <v>44346.965999999993</v>
      </c>
      <c r="M43" s="391">
        <f>SUM(M44:M49)</f>
        <v>74071.27</v>
      </c>
      <c r="N43" s="397">
        <f t="shared" si="33"/>
        <v>0</v>
      </c>
      <c r="O43" s="398">
        <f t="shared" si="34"/>
        <v>0</v>
      </c>
      <c r="P43" s="399"/>
      <c r="Q43" s="391">
        <f>SUM(Q44:Q49)</f>
        <v>36251.763597599995</v>
      </c>
      <c r="R43" s="391">
        <f>SUM(R44:R49)</f>
        <v>54085.559733599992</v>
      </c>
      <c r="S43" s="391">
        <f>SUM(S44:S49)</f>
        <v>90337.290000000008</v>
      </c>
      <c r="T43" s="334">
        <f t="shared" ref="T43:T49" si="96">+S43/$S$213</f>
        <v>3.7679419363834288E-2</v>
      </c>
    </row>
    <row r="44" spans="2:23" ht="24.95" customHeight="1" x14ac:dyDescent="0.25">
      <c r="B44" s="162" t="s">
        <v>131</v>
      </c>
      <c r="C44" s="160" t="s">
        <v>745</v>
      </c>
      <c r="D44" s="171" t="s">
        <v>125</v>
      </c>
      <c r="E44" s="163" t="s">
        <v>581</v>
      </c>
      <c r="F44" s="160" t="s">
        <v>2</v>
      </c>
      <c r="G44" s="164">
        <v>2480.1999999999998</v>
      </c>
      <c r="H44" s="165">
        <v>10.23</v>
      </c>
      <c r="I44" s="166">
        <v>14.28</v>
      </c>
      <c r="J44" s="167">
        <f>TRUNC(SUM(H44:I44),2)</f>
        <v>24.51</v>
      </c>
      <c r="K44" s="168">
        <f>+H44*G44</f>
        <v>25372.446</v>
      </c>
      <c r="L44" s="169">
        <f>+I44*G44</f>
        <v>35417.255999999994</v>
      </c>
      <c r="M44" s="170">
        <f t="shared" ref="M44" si="97">TRUNC(SUM(K44:L44),2)</f>
        <v>60789.7</v>
      </c>
      <c r="N44" s="165">
        <f t="shared" si="33"/>
        <v>12.476508000000001</v>
      </c>
      <c r="O44" s="166">
        <f t="shared" si="34"/>
        <v>17.415887999999999</v>
      </c>
      <c r="P44" s="167">
        <f>TRUNC(SUM(N44:O44),2)</f>
        <v>29.89</v>
      </c>
      <c r="Q44" s="168">
        <f>+N44*G44</f>
        <v>30944.235141599998</v>
      </c>
      <c r="R44" s="169">
        <f>+O44*G44</f>
        <v>43194.885417599995</v>
      </c>
      <c r="S44" s="169">
        <f>TRUNC(SUM(Q44:R44),2)</f>
        <v>74139.12</v>
      </c>
      <c r="T44" s="161">
        <f t="shared" si="96"/>
        <v>3.0923210046987615E-2</v>
      </c>
      <c r="V44" s="429">
        <v>0.3</v>
      </c>
      <c r="W44" s="429">
        <v>0.3</v>
      </c>
    </row>
    <row r="45" spans="2:23" ht="24.95" customHeight="1" x14ac:dyDescent="0.25">
      <c r="B45" s="162" t="s">
        <v>1418</v>
      </c>
      <c r="C45" s="160">
        <v>120108</v>
      </c>
      <c r="D45" s="171" t="s">
        <v>214</v>
      </c>
      <c r="E45" s="163" t="s">
        <v>1420</v>
      </c>
      <c r="F45" s="160" t="s">
        <v>2</v>
      </c>
      <c r="G45" s="164">
        <v>9</v>
      </c>
      <c r="H45" s="165">
        <v>24.48</v>
      </c>
      <c r="I45" s="166">
        <v>164.22</v>
      </c>
      <c r="J45" s="167">
        <f>TRUNC(SUM(H45:I45),2)</f>
        <v>188.7</v>
      </c>
      <c r="K45" s="168">
        <f>+H45*G45</f>
        <v>220.32</v>
      </c>
      <c r="L45" s="169">
        <f>+I45*G45</f>
        <v>1477.98</v>
      </c>
      <c r="M45" s="170">
        <f t="shared" ref="M45" si="98">TRUNC(SUM(K45:L45),2)</f>
        <v>1698.3</v>
      </c>
      <c r="N45" s="165">
        <f t="shared" ref="N45" si="99">+H45*(1+$T$10)</f>
        <v>29.855808</v>
      </c>
      <c r="O45" s="166">
        <f t="shared" ref="O45" si="100">+I45*(1+$T$10)</f>
        <v>200.282712</v>
      </c>
      <c r="P45" s="167">
        <f>TRUNC(SUM(N45:O45),2)</f>
        <v>230.13</v>
      </c>
      <c r="Q45" s="168">
        <f>+N45*G45</f>
        <v>268.70227199999999</v>
      </c>
      <c r="R45" s="169">
        <f>+O45*G45</f>
        <v>1802.544408</v>
      </c>
      <c r="S45" s="169">
        <f>TRUNC(SUM(Q45:R45),2)</f>
        <v>2071.2399999999998</v>
      </c>
      <c r="T45" s="161">
        <f t="shared" si="96"/>
        <v>8.6390814427960057E-4</v>
      </c>
    </row>
    <row r="46" spans="2:23" ht="43.35" customHeight="1" x14ac:dyDescent="0.25">
      <c r="B46" s="162" t="s">
        <v>1428</v>
      </c>
      <c r="C46" s="160">
        <v>10029</v>
      </c>
      <c r="D46" s="171" t="s">
        <v>177</v>
      </c>
      <c r="E46" s="163" t="s">
        <v>1425</v>
      </c>
      <c r="F46" s="160" t="s">
        <v>2</v>
      </c>
      <c r="G46" s="164">
        <v>9</v>
      </c>
      <c r="H46" s="165">
        <v>28.06</v>
      </c>
      <c r="I46" s="166">
        <v>97.57</v>
      </c>
      <c r="J46" s="167">
        <f t="shared" ref="J46:J49" si="101">TRUNC(SUM(H46:I46),2)</f>
        <v>125.63</v>
      </c>
      <c r="K46" s="168">
        <f t="shared" ref="K46:K49" si="102">+H46*G46</f>
        <v>252.54</v>
      </c>
      <c r="L46" s="169">
        <f t="shared" ref="L46:L49" si="103">+I46*G46</f>
        <v>878.12999999999988</v>
      </c>
      <c r="M46" s="170">
        <f t="shared" ref="M46:M49" si="104">TRUNC(SUM(K46:L46),2)</f>
        <v>1130.67</v>
      </c>
      <c r="N46" s="165">
        <f t="shared" ref="N46:N49" si="105">+H46*(1+$T$10)</f>
        <v>34.221975999999998</v>
      </c>
      <c r="O46" s="166">
        <f t="shared" ref="O46:O49" si="106">+I46*(1+$T$10)</f>
        <v>118.99637199999999</v>
      </c>
      <c r="P46" s="167">
        <f t="shared" ref="P46:P49" si="107">TRUNC(SUM(N46:O46),2)</f>
        <v>153.21</v>
      </c>
      <c r="Q46" s="168">
        <f t="shared" ref="Q46:Q49" si="108">+N46*G46</f>
        <v>307.99778399999997</v>
      </c>
      <c r="R46" s="169">
        <f t="shared" ref="R46:R49" si="109">+O46*G46</f>
        <v>1070.9673479999999</v>
      </c>
      <c r="S46" s="169">
        <f t="shared" ref="S46:S49" si="110">TRUNC(SUM(Q46:R46),2)</f>
        <v>1378.96</v>
      </c>
      <c r="T46" s="161">
        <f t="shared" si="96"/>
        <v>5.7516018164761125E-4</v>
      </c>
    </row>
    <row r="47" spans="2:23" ht="24.95" customHeight="1" x14ac:dyDescent="0.25">
      <c r="B47" s="162" t="s">
        <v>1429</v>
      </c>
      <c r="C47" s="160">
        <v>96113</v>
      </c>
      <c r="D47" s="171" t="s">
        <v>31</v>
      </c>
      <c r="E47" s="163" t="s">
        <v>1433</v>
      </c>
      <c r="F47" s="160" t="s">
        <v>2</v>
      </c>
      <c r="G47" s="164">
        <v>180</v>
      </c>
      <c r="H47" s="165">
        <v>13.81</v>
      </c>
      <c r="I47" s="166">
        <v>20.9</v>
      </c>
      <c r="J47" s="167">
        <f t="shared" si="101"/>
        <v>34.71</v>
      </c>
      <c r="K47" s="168">
        <f t="shared" si="102"/>
        <v>2485.8000000000002</v>
      </c>
      <c r="L47" s="169">
        <f t="shared" si="103"/>
        <v>3761.9999999999995</v>
      </c>
      <c r="M47" s="170">
        <f t="shared" si="104"/>
        <v>6247.8</v>
      </c>
      <c r="N47" s="165">
        <f t="shared" si="105"/>
        <v>16.842676000000001</v>
      </c>
      <c r="O47" s="166">
        <f t="shared" si="106"/>
        <v>25.489639999999998</v>
      </c>
      <c r="P47" s="167">
        <f t="shared" si="107"/>
        <v>42.33</v>
      </c>
      <c r="Q47" s="168">
        <f t="shared" si="108"/>
        <v>3031.6816800000001</v>
      </c>
      <c r="R47" s="169">
        <f t="shared" si="109"/>
        <v>4588.1351999999997</v>
      </c>
      <c r="S47" s="169">
        <f t="shared" si="110"/>
        <v>7619.81</v>
      </c>
      <c r="T47" s="161">
        <f t="shared" si="96"/>
        <v>3.178200458113567E-3</v>
      </c>
    </row>
    <row r="48" spans="2:23" ht="24.95" customHeight="1" x14ac:dyDescent="0.25">
      <c r="B48" s="162" t="s">
        <v>1430</v>
      </c>
      <c r="C48" s="160">
        <v>88497</v>
      </c>
      <c r="D48" s="171" t="s">
        <v>31</v>
      </c>
      <c r="E48" s="163" t="s">
        <v>1435</v>
      </c>
      <c r="F48" s="160" t="s">
        <v>2</v>
      </c>
      <c r="G48" s="164">
        <v>180</v>
      </c>
      <c r="H48" s="165">
        <v>6.52</v>
      </c>
      <c r="I48" s="166">
        <v>6.85</v>
      </c>
      <c r="J48" s="167">
        <f t="shared" si="101"/>
        <v>13.37</v>
      </c>
      <c r="K48" s="168">
        <f t="shared" si="102"/>
        <v>1173.5999999999999</v>
      </c>
      <c r="L48" s="169">
        <f t="shared" si="103"/>
        <v>1233</v>
      </c>
      <c r="M48" s="170">
        <f t="shared" si="104"/>
        <v>2406.6</v>
      </c>
      <c r="N48" s="165">
        <f t="shared" si="105"/>
        <v>7.9517919999999993</v>
      </c>
      <c r="O48" s="166">
        <f t="shared" si="106"/>
        <v>8.35426</v>
      </c>
      <c r="P48" s="167">
        <f t="shared" si="107"/>
        <v>16.3</v>
      </c>
      <c r="Q48" s="168">
        <f t="shared" si="108"/>
        <v>1431.3225599999998</v>
      </c>
      <c r="R48" s="169">
        <f t="shared" si="109"/>
        <v>1503.7668000000001</v>
      </c>
      <c r="S48" s="169">
        <f t="shared" si="110"/>
        <v>2935.08</v>
      </c>
      <c r="T48" s="161">
        <f t="shared" si="96"/>
        <v>1.224213280987317E-3</v>
      </c>
    </row>
    <row r="49" spans="2:20" ht="24.95" customHeight="1" x14ac:dyDescent="0.25">
      <c r="B49" s="162" t="s">
        <v>1431</v>
      </c>
      <c r="C49" s="160">
        <v>88492</v>
      </c>
      <c r="D49" s="171" t="s">
        <v>31</v>
      </c>
      <c r="E49" s="163" t="s">
        <v>1427</v>
      </c>
      <c r="F49" s="160" t="s">
        <v>2</v>
      </c>
      <c r="G49" s="164">
        <v>180</v>
      </c>
      <c r="H49" s="165">
        <v>1.22</v>
      </c>
      <c r="I49" s="166">
        <v>8.77</v>
      </c>
      <c r="J49" s="167">
        <f t="shared" si="101"/>
        <v>9.99</v>
      </c>
      <c r="K49" s="168">
        <f t="shared" si="102"/>
        <v>219.6</v>
      </c>
      <c r="L49" s="169">
        <f t="shared" si="103"/>
        <v>1578.6</v>
      </c>
      <c r="M49" s="170">
        <f t="shared" si="104"/>
        <v>1798.2</v>
      </c>
      <c r="N49" s="165">
        <f t="shared" si="105"/>
        <v>1.4879119999999999</v>
      </c>
      <c r="O49" s="166">
        <f t="shared" si="106"/>
        <v>10.695891999999999</v>
      </c>
      <c r="P49" s="167">
        <f t="shared" si="107"/>
        <v>12.18</v>
      </c>
      <c r="Q49" s="168">
        <f t="shared" si="108"/>
        <v>267.82416000000001</v>
      </c>
      <c r="R49" s="169">
        <f t="shared" si="109"/>
        <v>1925.2605599999997</v>
      </c>
      <c r="S49" s="169">
        <f t="shared" si="110"/>
        <v>2193.08</v>
      </c>
      <c r="T49" s="161">
        <f t="shared" si="96"/>
        <v>9.147272518185757E-4</v>
      </c>
    </row>
    <row r="50" spans="2:20" ht="24.95" customHeight="1" x14ac:dyDescent="0.25">
      <c r="B50" s="162"/>
      <c r="C50" s="160"/>
      <c r="D50" s="171"/>
      <c r="E50" s="163"/>
      <c r="F50" s="160"/>
      <c r="G50" s="164"/>
      <c r="H50" s="165"/>
      <c r="I50" s="166"/>
      <c r="J50" s="167"/>
      <c r="K50" s="168"/>
      <c r="L50" s="169"/>
      <c r="M50" s="170"/>
      <c r="N50" s="165"/>
      <c r="O50" s="166"/>
      <c r="P50" s="167"/>
      <c r="Q50" s="168"/>
      <c r="R50" s="169"/>
      <c r="S50" s="169"/>
      <c r="T50" s="161"/>
    </row>
    <row r="51" spans="2:20" ht="24.95" customHeight="1" x14ac:dyDescent="0.25">
      <c r="B51" s="327" t="s">
        <v>255</v>
      </c>
      <c r="C51" s="328"/>
      <c r="D51" s="328"/>
      <c r="E51" s="329" t="s">
        <v>209</v>
      </c>
      <c r="F51" s="330"/>
      <c r="G51" s="331"/>
      <c r="H51" s="332"/>
      <c r="I51" s="330"/>
      <c r="J51" s="333"/>
      <c r="K51" s="391">
        <f>K52+K60</f>
        <v>60966.724999999999</v>
      </c>
      <c r="L51" s="391">
        <f t="shared" ref="L51:M51" si="111">L52+L60</f>
        <v>173716.60200000004</v>
      </c>
      <c r="M51" s="391">
        <f t="shared" si="111"/>
        <v>234683.32</v>
      </c>
      <c r="N51" s="397">
        <f t="shared" si="33"/>
        <v>0</v>
      </c>
      <c r="O51" s="398">
        <f t="shared" si="34"/>
        <v>0</v>
      </c>
      <c r="P51" s="399"/>
      <c r="Q51" s="391">
        <f>Q52+Q60</f>
        <v>74355.017810000005</v>
      </c>
      <c r="R51" s="391">
        <f t="shared" ref="R51" si="112">R52+R60</f>
        <v>211864.7677992</v>
      </c>
      <c r="S51" s="391">
        <f t="shared" ref="S51" si="113">S52+S60</f>
        <v>286219.73</v>
      </c>
      <c r="T51" s="334">
        <f t="shared" ref="T51:T66" si="114">+S51/$S$213</f>
        <v>0.11938141200464859</v>
      </c>
    </row>
    <row r="52" spans="2:20" ht="24.95" customHeight="1" x14ac:dyDescent="0.25">
      <c r="B52" s="339" t="s">
        <v>256</v>
      </c>
      <c r="C52" s="340"/>
      <c r="D52" s="340"/>
      <c r="E52" s="341" t="s">
        <v>863</v>
      </c>
      <c r="F52" s="342"/>
      <c r="G52" s="343"/>
      <c r="H52" s="344"/>
      <c r="I52" s="342"/>
      <c r="J52" s="345"/>
      <c r="K52" s="393">
        <f>SUM(K53:K59)</f>
        <v>7630.5300000000007</v>
      </c>
      <c r="L52" s="393">
        <f t="shared" ref="L52:M52" si="115">SUM(L53:L59)</f>
        <v>9028.6400000000012</v>
      </c>
      <c r="M52" s="393">
        <f t="shared" si="115"/>
        <v>16659.169999999998</v>
      </c>
      <c r="N52" s="400">
        <f t="shared" si="33"/>
        <v>0</v>
      </c>
      <c r="O52" s="401">
        <f t="shared" si="34"/>
        <v>0</v>
      </c>
      <c r="P52" s="402"/>
      <c r="Q52" s="393">
        <f>SUM(Q53:Q59)</f>
        <v>9306.1943879999999</v>
      </c>
      <c r="R52" s="393">
        <f t="shared" ref="R52" si="116">SUM(R53:R59)</f>
        <v>11011.329344</v>
      </c>
      <c r="S52" s="393">
        <f t="shared" ref="S52" si="117">SUM(S53:S59)</f>
        <v>20317.5</v>
      </c>
      <c r="T52" s="346">
        <f t="shared" si="114"/>
        <v>8.474369808134638E-3</v>
      </c>
    </row>
    <row r="53" spans="2:20" ht="24.95" customHeight="1" x14ac:dyDescent="0.25">
      <c r="B53" s="162" t="s">
        <v>132</v>
      </c>
      <c r="C53" s="160" t="s">
        <v>864</v>
      </c>
      <c r="D53" s="171" t="s">
        <v>865</v>
      </c>
      <c r="E53" s="163" t="s">
        <v>866</v>
      </c>
      <c r="F53" s="160" t="s">
        <v>22</v>
      </c>
      <c r="G53" s="164">
        <v>293</v>
      </c>
      <c r="H53" s="165">
        <v>4.88</v>
      </c>
      <c r="I53" s="166">
        <v>5.29</v>
      </c>
      <c r="J53" s="167">
        <f t="shared" ref="J53:J104" si="118">TRUNC(SUM(H53:I53),2)</f>
        <v>10.17</v>
      </c>
      <c r="K53" s="168">
        <f>+H53*G53</f>
        <v>1429.84</v>
      </c>
      <c r="L53" s="169">
        <f>+I53*G53</f>
        <v>1549.97</v>
      </c>
      <c r="M53" s="170">
        <f t="shared" ref="M53:M57" si="119">TRUNC(SUM(K53:L53),2)</f>
        <v>2979.81</v>
      </c>
      <c r="N53" s="165">
        <f t="shared" si="33"/>
        <v>5.9516479999999996</v>
      </c>
      <c r="O53" s="166">
        <f t="shared" si="34"/>
        <v>6.4516840000000002</v>
      </c>
      <c r="P53" s="167">
        <f t="shared" ref="P53:P104" si="120">TRUNC(SUM(N53:O53),2)</f>
        <v>12.4</v>
      </c>
      <c r="Q53" s="168">
        <f t="shared" ref="Q53:Q91" si="121">+N53*G53</f>
        <v>1743.832864</v>
      </c>
      <c r="R53" s="169">
        <f t="shared" ref="R53:R91" si="122">+O53*G53</f>
        <v>1890.3434120000002</v>
      </c>
      <c r="S53" s="169">
        <f t="shared" ref="S53:S91" si="123">TRUNC(SUM(Q53:R53),2)</f>
        <v>3634.17</v>
      </c>
      <c r="T53" s="161">
        <f t="shared" si="114"/>
        <v>1.5158016746956396E-3</v>
      </c>
    </row>
    <row r="54" spans="2:20" ht="39.950000000000003" customHeight="1" x14ac:dyDescent="0.25">
      <c r="B54" s="162" t="s">
        <v>1441</v>
      </c>
      <c r="C54" s="160" t="s">
        <v>765</v>
      </c>
      <c r="D54" s="171" t="s">
        <v>125</v>
      </c>
      <c r="E54" s="163" t="s">
        <v>452</v>
      </c>
      <c r="F54" s="160" t="s">
        <v>22</v>
      </c>
      <c r="G54" s="164">
        <v>31</v>
      </c>
      <c r="H54" s="165">
        <v>7.7</v>
      </c>
      <c r="I54" s="166">
        <v>4.92</v>
      </c>
      <c r="J54" s="167">
        <f t="shared" ref="J54:J56" si="124">TRUNC(SUM(H54:I54),2)</f>
        <v>12.62</v>
      </c>
      <c r="K54" s="168">
        <f t="shared" ref="K54:K56" si="125">+H54*G54</f>
        <v>238.70000000000002</v>
      </c>
      <c r="L54" s="169">
        <f t="shared" ref="L54:L56" si="126">+I54*G54</f>
        <v>152.52000000000001</v>
      </c>
      <c r="M54" s="170">
        <f t="shared" ref="M54:M56" si="127">TRUNC(SUM(K54:L54),2)</f>
        <v>391.22</v>
      </c>
      <c r="N54" s="165">
        <f t="shared" si="33"/>
        <v>9.3909199999999995</v>
      </c>
      <c r="O54" s="166">
        <f t="shared" si="34"/>
        <v>6.000432</v>
      </c>
      <c r="P54" s="167">
        <f t="shared" ref="P54:P56" si="128">TRUNC(SUM(N54:O54),2)</f>
        <v>15.39</v>
      </c>
      <c r="Q54" s="168">
        <f t="shared" ref="Q54:Q56" si="129">+N54*G54</f>
        <v>291.11851999999999</v>
      </c>
      <c r="R54" s="169">
        <f t="shared" ref="R54:R56" si="130">+O54*G54</f>
        <v>186.01339200000001</v>
      </c>
      <c r="S54" s="169">
        <f t="shared" ref="S54:S56" si="131">TRUNC(SUM(Q54:R54),2)</f>
        <v>477.13</v>
      </c>
      <c r="T54" s="161">
        <f t="shared" si="114"/>
        <v>1.9900952708528508E-4</v>
      </c>
    </row>
    <row r="55" spans="2:20" ht="39.950000000000003" customHeight="1" x14ac:dyDescent="0.25">
      <c r="B55" s="162" t="s">
        <v>1442</v>
      </c>
      <c r="C55" s="160" t="s">
        <v>307</v>
      </c>
      <c r="D55" s="171" t="s">
        <v>214</v>
      </c>
      <c r="E55" s="163" t="s">
        <v>308</v>
      </c>
      <c r="F55" s="160" t="s">
        <v>22</v>
      </c>
      <c r="G55" s="164">
        <v>8</v>
      </c>
      <c r="H55" s="165">
        <v>7.88</v>
      </c>
      <c r="I55" s="166">
        <v>12.22</v>
      </c>
      <c r="J55" s="167">
        <f t="shared" si="124"/>
        <v>20.100000000000001</v>
      </c>
      <c r="K55" s="168">
        <f t="shared" si="125"/>
        <v>63.04</v>
      </c>
      <c r="L55" s="169">
        <f t="shared" si="126"/>
        <v>97.76</v>
      </c>
      <c r="M55" s="170">
        <f t="shared" si="127"/>
        <v>160.80000000000001</v>
      </c>
      <c r="N55" s="165">
        <f t="shared" si="33"/>
        <v>9.6104479999999999</v>
      </c>
      <c r="O55" s="166">
        <f t="shared" si="34"/>
        <v>14.903512000000001</v>
      </c>
      <c r="P55" s="167">
        <f t="shared" si="128"/>
        <v>24.51</v>
      </c>
      <c r="Q55" s="168">
        <f t="shared" si="129"/>
        <v>76.883583999999999</v>
      </c>
      <c r="R55" s="169">
        <f t="shared" si="130"/>
        <v>119.22809600000001</v>
      </c>
      <c r="S55" s="169">
        <f t="shared" si="131"/>
        <v>196.11</v>
      </c>
      <c r="T55" s="161">
        <f t="shared" si="114"/>
        <v>8.1796907251053717E-5</v>
      </c>
    </row>
    <row r="56" spans="2:20" ht="39.950000000000003" customHeight="1" x14ac:dyDescent="0.25">
      <c r="B56" s="162" t="s">
        <v>1443</v>
      </c>
      <c r="C56" s="160" t="s">
        <v>766</v>
      </c>
      <c r="D56" s="171" t="s">
        <v>125</v>
      </c>
      <c r="E56" s="163" t="s">
        <v>455</v>
      </c>
      <c r="F56" s="160" t="s">
        <v>22</v>
      </c>
      <c r="G56" s="164">
        <v>329</v>
      </c>
      <c r="H56" s="165">
        <v>2.95</v>
      </c>
      <c r="I56" s="166">
        <v>2.34</v>
      </c>
      <c r="J56" s="167">
        <f t="shared" si="124"/>
        <v>5.29</v>
      </c>
      <c r="K56" s="168">
        <f t="shared" si="125"/>
        <v>970.55000000000007</v>
      </c>
      <c r="L56" s="169">
        <f t="shared" si="126"/>
        <v>769.8599999999999</v>
      </c>
      <c r="M56" s="170">
        <f t="shared" si="127"/>
        <v>1740.41</v>
      </c>
      <c r="N56" s="165">
        <f t="shared" si="33"/>
        <v>3.5978200000000005</v>
      </c>
      <c r="O56" s="166">
        <f t="shared" si="34"/>
        <v>2.8538639999999997</v>
      </c>
      <c r="P56" s="167">
        <f t="shared" si="128"/>
        <v>6.45</v>
      </c>
      <c r="Q56" s="168">
        <f t="shared" si="129"/>
        <v>1183.6827800000001</v>
      </c>
      <c r="R56" s="169">
        <f t="shared" si="130"/>
        <v>938.92125599999986</v>
      </c>
      <c r="S56" s="169">
        <f t="shared" si="131"/>
        <v>2122.6</v>
      </c>
      <c r="T56" s="161">
        <f t="shared" si="114"/>
        <v>8.8533025001828877E-4</v>
      </c>
    </row>
    <row r="57" spans="2:20" ht="24.95" customHeight="1" x14ac:dyDescent="0.25">
      <c r="B57" s="162" t="s">
        <v>1444</v>
      </c>
      <c r="C57" s="160" t="s">
        <v>867</v>
      </c>
      <c r="D57" s="171" t="s">
        <v>31</v>
      </c>
      <c r="E57" s="163" t="s">
        <v>868</v>
      </c>
      <c r="F57" s="160" t="s">
        <v>22</v>
      </c>
      <c r="G57" s="164">
        <v>186</v>
      </c>
      <c r="H57" s="165">
        <v>4.4400000000000004</v>
      </c>
      <c r="I57" s="166">
        <v>4.17</v>
      </c>
      <c r="J57" s="167">
        <f t="shared" si="118"/>
        <v>8.61</v>
      </c>
      <c r="K57" s="168">
        <f>+H57*G57</f>
        <v>825.84</v>
      </c>
      <c r="L57" s="169">
        <f>+I57*G57</f>
        <v>775.62</v>
      </c>
      <c r="M57" s="170">
        <f t="shared" si="119"/>
        <v>1601.46</v>
      </c>
      <c r="N57" s="165">
        <f t="shared" si="33"/>
        <v>5.4150240000000007</v>
      </c>
      <c r="O57" s="166">
        <f t="shared" si="34"/>
        <v>5.0857320000000001</v>
      </c>
      <c r="P57" s="167">
        <f t="shared" si="120"/>
        <v>10.5</v>
      </c>
      <c r="Q57" s="168">
        <f t="shared" si="121"/>
        <v>1007.1944640000002</v>
      </c>
      <c r="R57" s="169">
        <f t="shared" si="122"/>
        <v>945.94615199999998</v>
      </c>
      <c r="S57" s="169">
        <f t="shared" si="123"/>
        <v>1953.14</v>
      </c>
      <c r="T57" s="161">
        <f t="shared" si="114"/>
        <v>8.1464897979870003E-4</v>
      </c>
    </row>
    <row r="58" spans="2:20" ht="24.95" customHeight="1" x14ac:dyDescent="0.25">
      <c r="B58" s="162" t="s">
        <v>1445</v>
      </c>
      <c r="C58" s="160" t="s">
        <v>869</v>
      </c>
      <c r="D58" s="171" t="s">
        <v>31</v>
      </c>
      <c r="E58" s="163" t="s">
        <v>870</v>
      </c>
      <c r="F58" s="160" t="s">
        <v>22</v>
      </c>
      <c r="G58" s="164">
        <v>924</v>
      </c>
      <c r="H58" s="165">
        <v>4.4400000000000004</v>
      </c>
      <c r="I58" s="166">
        <v>6.12</v>
      </c>
      <c r="J58" s="167">
        <f t="shared" ref="J58:J59" si="132">TRUNC(SUM(H58:I58),2)</f>
        <v>10.56</v>
      </c>
      <c r="K58" s="168">
        <f>+H58*G58</f>
        <v>4102.5600000000004</v>
      </c>
      <c r="L58" s="169">
        <f>+I58*G58</f>
        <v>5654.88</v>
      </c>
      <c r="M58" s="170">
        <f t="shared" ref="M58:M59" si="133">TRUNC(SUM(K58:L58),2)</f>
        <v>9757.44</v>
      </c>
      <c r="N58" s="165">
        <f t="shared" si="33"/>
        <v>5.4150240000000007</v>
      </c>
      <c r="O58" s="166">
        <f t="shared" si="34"/>
        <v>7.4639519999999999</v>
      </c>
      <c r="P58" s="167">
        <f t="shared" ref="P58:P59" si="134">TRUNC(SUM(N58:O58),2)</f>
        <v>12.87</v>
      </c>
      <c r="Q58" s="168">
        <f t="shared" ref="Q58:Q59" si="135">+N58*G58</f>
        <v>5003.4821760000004</v>
      </c>
      <c r="R58" s="169">
        <f t="shared" ref="R58:R59" si="136">+O58*G58</f>
        <v>6896.691648</v>
      </c>
      <c r="S58" s="169">
        <f t="shared" ref="S58:S59" si="137">TRUNC(SUM(Q58:R58),2)</f>
        <v>11900.17</v>
      </c>
      <c r="T58" s="161">
        <f t="shared" si="114"/>
        <v>4.9635260912843397E-3</v>
      </c>
    </row>
    <row r="59" spans="2:20" ht="24.95" customHeight="1" x14ac:dyDescent="0.25">
      <c r="B59" s="162" t="s">
        <v>1446</v>
      </c>
      <c r="C59" s="160" t="s">
        <v>871</v>
      </c>
      <c r="D59" s="171" t="s">
        <v>177</v>
      </c>
      <c r="E59" s="163" t="s">
        <v>1677</v>
      </c>
      <c r="F59" s="160" t="s">
        <v>847</v>
      </c>
      <c r="G59" s="164">
        <v>1</v>
      </c>
      <c r="H59" s="165">
        <v>0</v>
      </c>
      <c r="I59" s="166">
        <v>28.03</v>
      </c>
      <c r="J59" s="167">
        <f t="shared" si="132"/>
        <v>28.03</v>
      </c>
      <c r="K59" s="168">
        <f t="shared" ref="K59" si="138">+H59*G59</f>
        <v>0</v>
      </c>
      <c r="L59" s="169">
        <f t="shared" ref="L59" si="139">+I59*G59</f>
        <v>28.03</v>
      </c>
      <c r="M59" s="170">
        <f t="shared" si="133"/>
        <v>28.03</v>
      </c>
      <c r="N59" s="165">
        <f t="shared" si="33"/>
        <v>0</v>
      </c>
      <c r="O59" s="166">
        <f t="shared" si="34"/>
        <v>34.185388000000003</v>
      </c>
      <c r="P59" s="167">
        <f t="shared" si="134"/>
        <v>34.18</v>
      </c>
      <c r="Q59" s="168">
        <f t="shared" si="135"/>
        <v>0</v>
      </c>
      <c r="R59" s="169">
        <f t="shared" si="136"/>
        <v>34.185388000000003</v>
      </c>
      <c r="S59" s="169">
        <f t="shared" si="137"/>
        <v>34.18</v>
      </c>
      <c r="T59" s="161">
        <f t="shared" si="114"/>
        <v>1.4256378001330968E-5</v>
      </c>
    </row>
    <row r="60" spans="2:20" ht="24.95" customHeight="1" x14ac:dyDescent="0.25">
      <c r="B60" s="339" t="s">
        <v>257</v>
      </c>
      <c r="C60" s="340"/>
      <c r="D60" s="340"/>
      <c r="E60" s="341" t="s">
        <v>873</v>
      </c>
      <c r="F60" s="342"/>
      <c r="G60" s="343"/>
      <c r="H60" s="344"/>
      <c r="I60" s="342"/>
      <c r="J60" s="345">
        <f t="shared" si="118"/>
        <v>0</v>
      </c>
      <c r="K60" s="393">
        <f>SUM(K61:K66)</f>
        <v>53336.195</v>
      </c>
      <c r="L60" s="393">
        <f>SUM(L61:L66)</f>
        <v>164687.96200000003</v>
      </c>
      <c r="M60" s="393">
        <f>SUM(M61:M66)</f>
        <v>218024.15</v>
      </c>
      <c r="N60" s="394">
        <f t="shared" si="33"/>
        <v>0</v>
      </c>
      <c r="O60" s="348">
        <f t="shared" si="34"/>
        <v>0</v>
      </c>
      <c r="P60" s="349">
        <f t="shared" si="120"/>
        <v>0</v>
      </c>
      <c r="Q60" s="393">
        <f>SUM(Q61:Q66)</f>
        <v>65048.823422000001</v>
      </c>
      <c r="R60" s="393">
        <f>SUM(R61:R66)</f>
        <v>200853.4384552</v>
      </c>
      <c r="S60" s="393">
        <f>SUM(S61:S66)</f>
        <v>265902.23</v>
      </c>
      <c r="T60" s="346">
        <f t="shared" si="114"/>
        <v>0.11090704219651396</v>
      </c>
    </row>
    <row r="61" spans="2:20" ht="39.950000000000003" customHeight="1" x14ac:dyDescent="0.25">
      <c r="B61" s="162" t="s">
        <v>133</v>
      </c>
      <c r="C61" s="160" t="s">
        <v>874</v>
      </c>
      <c r="D61" s="171" t="s">
        <v>875</v>
      </c>
      <c r="E61" s="163" t="s">
        <v>876</v>
      </c>
      <c r="F61" s="160" t="s">
        <v>877</v>
      </c>
      <c r="G61" s="164">
        <v>504.8</v>
      </c>
      <c r="H61" s="165">
        <v>2.84</v>
      </c>
      <c r="I61" s="166">
        <v>11.66</v>
      </c>
      <c r="J61" s="167">
        <f t="shared" si="118"/>
        <v>14.5</v>
      </c>
      <c r="K61" s="168">
        <f>+H61*G61</f>
        <v>1433.6320000000001</v>
      </c>
      <c r="L61" s="169">
        <f>+I61*G61</f>
        <v>5885.9679999999998</v>
      </c>
      <c r="M61" s="170">
        <f t="shared" ref="M61" si="140">TRUNC(SUM(K61:L61),2)</f>
        <v>7319.6</v>
      </c>
      <c r="N61" s="165">
        <f t="shared" si="33"/>
        <v>3.4636640000000001</v>
      </c>
      <c r="O61" s="166">
        <f t="shared" si="34"/>
        <v>14.220536000000001</v>
      </c>
      <c r="P61" s="167">
        <f t="shared" si="120"/>
        <v>17.68</v>
      </c>
      <c r="Q61" s="168">
        <f t="shared" si="121"/>
        <v>1748.4575872</v>
      </c>
      <c r="R61" s="169">
        <f t="shared" si="122"/>
        <v>7178.5265728000004</v>
      </c>
      <c r="S61" s="169">
        <f t="shared" si="123"/>
        <v>8926.98</v>
      </c>
      <c r="T61" s="161">
        <f t="shared" si="114"/>
        <v>3.7234172407934907E-3</v>
      </c>
    </row>
    <row r="62" spans="2:20" ht="39.950000000000003" customHeight="1" x14ac:dyDescent="0.25">
      <c r="B62" s="162" t="s">
        <v>1447</v>
      </c>
      <c r="C62" s="160" t="s">
        <v>878</v>
      </c>
      <c r="D62" s="171" t="s">
        <v>875</v>
      </c>
      <c r="E62" s="163" t="s">
        <v>879</v>
      </c>
      <c r="F62" s="160" t="s">
        <v>877</v>
      </c>
      <c r="G62" s="164">
        <v>500</v>
      </c>
      <c r="H62" s="165">
        <v>2.84</v>
      </c>
      <c r="I62" s="166">
        <v>18.75</v>
      </c>
      <c r="J62" s="167">
        <f t="shared" ref="J62:J66" si="141">TRUNC(SUM(H62:I62),2)</f>
        <v>21.59</v>
      </c>
      <c r="K62" s="168">
        <f>+H62*G62</f>
        <v>1420</v>
      </c>
      <c r="L62" s="169">
        <f>+I62*G62</f>
        <v>9375</v>
      </c>
      <c r="M62" s="170">
        <f t="shared" ref="M62:M66" si="142">TRUNC(SUM(K62:L62),2)</f>
        <v>10795</v>
      </c>
      <c r="N62" s="165">
        <f t="shared" si="33"/>
        <v>3.4636640000000001</v>
      </c>
      <c r="O62" s="166">
        <f t="shared" si="34"/>
        <v>22.8675</v>
      </c>
      <c r="P62" s="167">
        <f t="shared" ref="P62:P66" si="143">TRUNC(SUM(N62:O62),2)</f>
        <v>26.33</v>
      </c>
      <c r="Q62" s="168">
        <f t="shared" ref="Q62:Q66" si="144">+N62*G62</f>
        <v>1731.8320000000001</v>
      </c>
      <c r="R62" s="169">
        <f t="shared" ref="R62:R66" si="145">+O62*G62</f>
        <v>11433.75</v>
      </c>
      <c r="S62" s="169">
        <f t="shared" ref="S62:S66" si="146">TRUNC(SUM(Q62:R62),2)</f>
        <v>13165.58</v>
      </c>
      <c r="T62" s="161">
        <f t="shared" si="114"/>
        <v>5.491324900139349E-3</v>
      </c>
    </row>
    <row r="63" spans="2:20" ht="39.950000000000003" customHeight="1" x14ac:dyDescent="0.25">
      <c r="B63" s="162" t="s">
        <v>1448</v>
      </c>
      <c r="C63" s="160" t="s">
        <v>880</v>
      </c>
      <c r="D63" s="171" t="s">
        <v>875</v>
      </c>
      <c r="E63" s="163" t="s">
        <v>881</v>
      </c>
      <c r="F63" s="160" t="s">
        <v>877</v>
      </c>
      <c r="G63" s="164">
        <v>146</v>
      </c>
      <c r="H63" s="165">
        <v>2.82</v>
      </c>
      <c r="I63" s="166">
        <v>28.66</v>
      </c>
      <c r="J63" s="167">
        <f t="shared" si="141"/>
        <v>31.48</v>
      </c>
      <c r="K63" s="168">
        <f t="shared" ref="K63" si="147">+H63*G63</f>
        <v>411.71999999999997</v>
      </c>
      <c r="L63" s="169">
        <f t="shared" ref="L63" si="148">+I63*G63</f>
        <v>4184.3599999999997</v>
      </c>
      <c r="M63" s="170">
        <f t="shared" si="142"/>
        <v>4596.08</v>
      </c>
      <c r="N63" s="165">
        <f t="shared" si="33"/>
        <v>3.4392719999999999</v>
      </c>
      <c r="O63" s="166">
        <f t="shared" si="34"/>
        <v>34.953735999999999</v>
      </c>
      <c r="P63" s="167">
        <f t="shared" si="143"/>
        <v>38.39</v>
      </c>
      <c r="Q63" s="168">
        <f t="shared" si="144"/>
        <v>502.133712</v>
      </c>
      <c r="R63" s="169">
        <f t="shared" si="145"/>
        <v>5103.2454559999996</v>
      </c>
      <c r="S63" s="169">
        <f t="shared" si="146"/>
        <v>5605.37</v>
      </c>
      <c r="T63" s="161">
        <f t="shared" si="114"/>
        <v>2.3379834276571259E-3</v>
      </c>
    </row>
    <row r="64" spans="2:20" ht="39.950000000000003" customHeight="1" x14ac:dyDescent="0.25">
      <c r="B64" s="162" t="s">
        <v>1449</v>
      </c>
      <c r="C64" s="160" t="s">
        <v>882</v>
      </c>
      <c r="D64" s="171" t="s">
        <v>875</v>
      </c>
      <c r="E64" s="163" t="s">
        <v>1362</v>
      </c>
      <c r="F64" s="160" t="s">
        <v>877</v>
      </c>
      <c r="G64" s="164">
        <v>562.5</v>
      </c>
      <c r="H64" s="165">
        <v>1.53</v>
      </c>
      <c r="I64" s="166">
        <v>8.81</v>
      </c>
      <c r="J64" s="167">
        <f t="shared" si="141"/>
        <v>10.34</v>
      </c>
      <c r="K64" s="168">
        <f>+H64*G64</f>
        <v>860.625</v>
      </c>
      <c r="L64" s="169">
        <f>+I64*G64</f>
        <v>4955.625</v>
      </c>
      <c r="M64" s="170">
        <f t="shared" si="142"/>
        <v>5816.25</v>
      </c>
      <c r="N64" s="165">
        <f t="shared" si="33"/>
        <v>1.865988</v>
      </c>
      <c r="O64" s="166">
        <f t="shared" si="34"/>
        <v>10.744676</v>
      </c>
      <c r="P64" s="167">
        <f t="shared" si="143"/>
        <v>12.61</v>
      </c>
      <c r="Q64" s="168">
        <f t="shared" si="144"/>
        <v>1049.61825</v>
      </c>
      <c r="R64" s="169">
        <f t="shared" si="145"/>
        <v>6043.8802500000002</v>
      </c>
      <c r="S64" s="169">
        <f t="shared" si="146"/>
        <v>7093.49</v>
      </c>
      <c r="T64" s="161">
        <f t="shared" si="114"/>
        <v>2.9586739259409361E-3</v>
      </c>
    </row>
    <row r="65" spans="2:20" ht="38.25" x14ac:dyDescent="0.25">
      <c r="B65" s="162" t="s">
        <v>1386</v>
      </c>
      <c r="C65" s="160" t="s">
        <v>883</v>
      </c>
      <c r="D65" s="171" t="s">
        <v>875</v>
      </c>
      <c r="E65" s="163" t="s">
        <v>884</v>
      </c>
      <c r="F65" s="160" t="s">
        <v>877</v>
      </c>
      <c r="G65" s="164">
        <v>38873.9</v>
      </c>
      <c r="H65" s="165">
        <v>1.2</v>
      </c>
      <c r="I65" s="166">
        <v>3.38</v>
      </c>
      <c r="J65" s="167">
        <f t="shared" si="141"/>
        <v>4.58</v>
      </c>
      <c r="K65" s="168">
        <f t="shared" ref="K65:K66" si="149">+H65*G65</f>
        <v>46648.68</v>
      </c>
      <c r="L65" s="169">
        <f t="shared" ref="L65:L66" si="150">+I65*G65</f>
        <v>131393.78200000001</v>
      </c>
      <c r="M65" s="170">
        <f t="shared" si="142"/>
        <v>178042.46</v>
      </c>
      <c r="N65" s="165">
        <f t="shared" si="33"/>
        <v>1.4635199999999999</v>
      </c>
      <c r="O65" s="166">
        <f t="shared" si="34"/>
        <v>4.1222479999999999</v>
      </c>
      <c r="P65" s="167">
        <f t="shared" si="143"/>
        <v>5.58</v>
      </c>
      <c r="Q65" s="168">
        <f t="shared" si="144"/>
        <v>56892.730128000003</v>
      </c>
      <c r="R65" s="169">
        <f t="shared" si="145"/>
        <v>160247.8565272</v>
      </c>
      <c r="S65" s="169">
        <f t="shared" si="146"/>
        <v>217140.58</v>
      </c>
      <c r="T65" s="161">
        <f t="shared" si="114"/>
        <v>9.0568700640966851E-2</v>
      </c>
    </row>
    <row r="66" spans="2:20" ht="36" customHeight="1" x14ac:dyDescent="0.25">
      <c r="B66" s="162" t="s">
        <v>1387</v>
      </c>
      <c r="C66" s="160" t="s">
        <v>885</v>
      </c>
      <c r="D66" s="171" t="s">
        <v>875</v>
      </c>
      <c r="E66" s="163" t="s">
        <v>886</v>
      </c>
      <c r="F66" s="160" t="s">
        <v>877</v>
      </c>
      <c r="G66" s="164">
        <v>1803.9</v>
      </c>
      <c r="H66" s="165">
        <v>1.42</v>
      </c>
      <c r="I66" s="166">
        <v>4.93</v>
      </c>
      <c r="J66" s="167">
        <f t="shared" si="141"/>
        <v>6.35</v>
      </c>
      <c r="K66" s="168">
        <f t="shared" si="149"/>
        <v>2561.538</v>
      </c>
      <c r="L66" s="169">
        <f t="shared" si="150"/>
        <v>8893.2270000000008</v>
      </c>
      <c r="M66" s="170">
        <f t="shared" si="142"/>
        <v>11454.76</v>
      </c>
      <c r="N66" s="165">
        <f t="shared" si="33"/>
        <v>1.731832</v>
      </c>
      <c r="O66" s="166">
        <f t="shared" si="34"/>
        <v>6.0126279999999994</v>
      </c>
      <c r="P66" s="167">
        <f t="shared" si="143"/>
        <v>7.74</v>
      </c>
      <c r="Q66" s="168">
        <f t="shared" si="144"/>
        <v>3124.0517448000001</v>
      </c>
      <c r="R66" s="169">
        <f t="shared" si="145"/>
        <v>10846.179649199999</v>
      </c>
      <c r="S66" s="169">
        <f t="shared" si="146"/>
        <v>13970.23</v>
      </c>
      <c r="T66" s="161">
        <f t="shared" si="114"/>
        <v>5.8269420610162059E-3</v>
      </c>
    </row>
    <row r="67" spans="2:20" ht="24.95" customHeight="1" x14ac:dyDescent="0.25">
      <c r="B67" s="162"/>
      <c r="C67" s="160"/>
      <c r="D67" s="171"/>
      <c r="E67" s="163"/>
      <c r="F67" s="160"/>
      <c r="G67" s="164"/>
      <c r="H67" s="165"/>
      <c r="I67" s="166"/>
      <c r="J67" s="167"/>
      <c r="K67" s="168"/>
      <c r="L67" s="169"/>
      <c r="M67" s="170"/>
      <c r="N67" s="165"/>
      <c r="O67" s="166"/>
      <c r="P67" s="167"/>
      <c r="Q67" s="168"/>
      <c r="R67" s="169"/>
      <c r="S67" s="169"/>
      <c r="T67" s="161"/>
    </row>
    <row r="68" spans="2:20" ht="24.95" customHeight="1" x14ac:dyDescent="0.25">
      <c r="B68" s="327">
        <v>6</v>
      </c>
      <c r="C68" s="328"/>
      <c r="D68" s="328"/>
      <c r="E68" s="329" t="s">
        <v>887</v>
      </c>
      <c r="F68" s="330"/>
      <c r="G68" s="331"/>
      <c r="H68" s="332"/>
      <c r="I68" s="330"/>
      <c r="J68" s="333">
        <f t="shared" si="118"/>
        <v>0</v>
      </c>
      <c r="K68" s="391">
        <f>SUM(K69:K73)</f>
        <v>24038.776500000004</v>
      </c>
      <c r="L68" s="391">
        <f t="shared" ref="L68:M68" si="151">SUM(L69:L73)</f>
        <v>317031.6789</v>
      </c>
      <c r="M68" s="391">
        <f t="shared" si="151"/>
        <v>341070.45</v>
      </c>
      <c r="N68" s="396">
        <f t="shared" si="33"/>
        <v>0</v>
      </c>
      <c r="O68" s="350">
        <f t="shared" si="34"/>
        <v>0</v>
      </c>
      <c r="P68" s="351">
        <f t="shared" si="120"/>
        <v>0</v>
      </c>
      <c r="Q68" s="391">
        <f>SUM(Q69:Q73)</f>
        <v>29317.691819399999</v>
      </c>
      <c r="R68" s="391">
        <f>SUM(R69:R73)</f>
        <v>386651.83558644005</v>
      </c>
      <c r="S68" s="391">
        <f t="shared" ref="S68" si="152">SUM(S69:S73)</f>
        <v>415969.51</v>
      </c>
      <c r="T68" s="334">
        <f t="shared" ref="T68:T73" si="153">+S68/$S$213</f>
        <v>0.17349966564038682</v>
      </c>
    </row>
    <row r="69" spans="2:20" ht="30" customHeight="1" x14ac:dyDescent="0.25">
      <c r="B69" s="162" t="s">
        <v>637</v>
      </c>
      <c r="C69" s="160" t="s">
        <v>888</v>
      </c>
      <c r="D69" s="171" t="s">
        <v>214</v>
      </c>
      <c r="E69" s="163" t="s">
        <v>889</v>
      </c>
      <c r="F69" s="160" t="s">
        <v>22</v>
      </c>
      <c r="G69" s="164">
        <v>6</v>
      </c>
      <c r="H69" s="165">
        <v>101.49</v>
      </c>
      <c r="I69" s="166">
        <v>246.03</v>
      </c>
      <c r="J69" s="167">
        <f t="shared" si="118"/>
        <v>347.52</v>
      </c>
      <c r="K69" s="168">
        <f>+H69*G69</f>
        <v>608.93999999999994</v>
      </c>
      <c r="L69" s="169">
        <f>+I69*G69</f>
        <v>1476.18</v>
      </c>
      <c r="M69" s="170">
        <f t="shared" ref="M69" si="154">TRUNC(SUM(K69:L69),2)</f>
        <v>2085.12</v>
      </c>
      <c r="N69" s="165">
        <f t="shared" si="33"/>
        <v>123.777204</v>
      </c>
      <c r="O69" s="166">
        <f t="shared" si="34"/>
        <v>300.05818800000003</v>
      </c>
      <c r="P69" s="167">
        <f t="shared" si="120"/>
        <v>423.83</v>
      </c>
      <c r="Q69" s="168">
        <f t="shared" si="121"/>
        <v>742.66322400000001</v>
      </c>
      <c r="R69" s="169">
        <f t="shared" si="122"/>
        <v>1800.3491280000003</v>
      </c>
      <c r="S69" s="169">
        <f t="shared" si="123"/>
        <v>2543.0100000000002</v>
      </c>
      <c r="T69" s="161">
        <f t="shared" si="153"/>
        <v>1.0606820310463624E-3</v>
      </c>
    </row>
    <row r="70" spans="2:20" ht="30" customHeight="1" x14ac:dyDescent="0.25">
      <c r="B70" s="162" t="s">
        <v>641</v>
      </c>
      <c r="C70" s="160" t="s">
        <v>890</v>
      </c>
      <c r="D70" s="171" t="s">
        <v>214</v>
      </c>
      <c r="E70" s="163" t="s">
        <v>891</v>
      </c>
      <c r="F70" s="160" t="s">
        <v>22</v>
      </c>
      <c r="G70" s="164">
        <v>6</v>
      </c>
      <c r="H70" s="165">
        <v>6.96</v>
      </c>
      <c r="I70" s="166">
        <v>56.96</v>
      </c>
      <c r="J70" s="167">
        <f t="shared" ref="J70:J90" si="155">TRUNC(SUM(H70:I70),2)</f>
        <v>63.92</v>
      </c>
      <c r="K70" s="168">
        <f t="shared" ref="K70:K90" si="156">+H70*G70</f>
        <v>41.76</v>
      </c>
      <c r="L70" s="169">
        <f t="shared" ref="L70:L90" si="157">+I70*G70</f>
        <v>341.76</v>
      </c>
      <c r="M70" s="170">
        <f t="shared" ref="M70:M90" si="158">TRUNC(SUM(K70:L70),2)</f>
        <v>383.52</v>
      </c>
      <c r="N70" s="165">
        <f t="shared" si="33"/>
        <v>8.4884160000000008</v>
      </c>
      <c r="O70" s="166">
        <f t="shared" si="34"/>
        <v>69.468416000000005</v>
      </c>
      <c r="P70" s="167">
        <f t="shared" ref="P70:P90" si="159">TRUNC(SUM(N70:O70),2)</f>
        <v>77.95</v>
      </c>
      <c r="Q70" s="168">
        <f t="shared" ref="Q70:Q90" si="160">+N70*G70</f>
        <v>50.930496000000005</v>
      </c>
      <c r="R70" s="169">
        <f t="shared" ref="R70:R90" si="161">+O70*G70</f>
        <v>416.81049600000006</v>
      </c>
      <c r="S70" s="169">
        <f t="shared" ref="S70:S90" si="162">TRUNC(SUM(Q70:R70),2)</f>
        <v>467.74</v>
      </c>
      <c r="T70" s="161">
        <f t="shared" si="153"/>
        <v>1.9509298555712542E-4</v>
      </c>
    </row>
    <row r="71" spans="2:20" ht="30" customHeight="1" x14ac:dyDescent="0.25">
      <c r="B71" s="162" t="s">
        <v>644</v>
      </c>
      <c r="C71" s="160" t="s">
        <v>892</v>
      </c>
      <c r="D71" s="171" t="s">
        <v>125</v>
      </c>
      <c r="E71" s="163" t="s">
        <v>1391</v>
      </c>
      <c r="F71" s="160" t="s">
        <v>35</v>
      </c>
      <c r="G71" s="164">
        <v>900</v>
      </c>
      <c r="H71" s="165">
        <v>14.53</v>
      </c>
      <c r="I71" s="166">
        <v>324.8</v>
      </c>
      <c r="J71" s="167">
        <f t="shared" si="155"/>
        <v>339.33</v>
      </c>
      <c r="K71" s="168">
        <f t="shared" si="156"/>
        <v>13077</v>
      </c>
      <c r="L71" s="169">
        <f t="shared" si="157"/>
        <v>292320</v>
      </c>
      <c r="M71" s="170">
        <f t="shared" si="158"/>
        <v>305397</v>
      </c>
      <c r="N71" s="165">
        <f t="shared" si="33"/>
        <v>17.720787999999999</v>
      </c>
      <c r="O71" s="166">
        <f t="shared" si="34"/>
        <v>396.12608</v>
      </c>
      <c r="P71" s="167">
        <f t="shared" si="159"/>
        <v>413.84</v>
      </c>
      <c r="Q71" s="168">
        <f t="shared" si="160"/>
        <v>15948.709199999999</v>
      </c>
      <c r="R71" s="169">
        <f t="shared" si="161"/>
        <v>356513.47200000001</v>
      </c>
      <c r="S71" s="169">
        <f t="shared" si="162"/>
        <v>372462.18</v>
      </c>
      <c r="T71" s="161">
        <f t="shared" si="153"/>
        <v>0.15535288558454577</v>
      </c>
    </row>
    <row r="72" spans="2:20" ht="30" customHeight="1" x14ac:dyDescent="0.25">
      <c r="B72" s="162" t="s">
        <v>1510</v>
      </c>
      <c r="C72" s="160" t="s">
        <v>1508</v>
      </c>
      <c r="D72" s="171" t="s">
        <v>214</v>
      </c>
      <c r="E72" s="163" t="s">
        <v>1509</v>
      </c>
      <c r="F72" s="160" t="s">
        <v>2</v>
      </c>
      <c r="G72" s="164">
        <v>170.22</v>
      </c>
      <c r="H72" s="165">
        <v>54.75</v>
      </c>
      <c r="I72" s="166">
        <v>94.27</v>
      </c>
      <c r="J72" s="167">
        <f t="shared" ref="J72" si="163">TRUNC(SUM(H72:I72),2)</f>
        <v>149.02000000000001</v>
      </c>
      <c r="K72" s="168">
        <f t="shared" ref="K72" si="164">+H72*G72</f>
        <v>9319.5450000000001</v>
      </c>
      <c r="L72" s="169">
        <f t="shared" ref="L72" si="165">+I72*G72</f>
        <v>16046.6394</v>
      </c>
      <c r="M72" s="170">
        <f t="shared" ref="M72" si="166">TRUNC(SUM(K72:L72),2)</f>
        <v>25366.18</v>
      </c>
      <c r="N72" s="165">
        <f t="shared" ref="N72" si="167">+H72*(1+$T$10)</f>
        <v>66.773099999999999</v>
      </c>
      <c r="O72" s="166">
        <f t="shared" ref="O72" si="168">+I72*(1+$T$10)</f>
        <v>114.97169199999999</v>
      </c>
      <c r="P72" s="167">
        <f t="shared" ref="P72" si="169">TRUNC(SUM(N72:O72),2)</f>
        <v>181.74</v>
      </c>
      <c r="Q72" s="168">
        <f t="shared" ref="Q72" si="170">+N72*G72</f>
        <v>11366.117082000001</v>
      </c>
      <c r="R72" s="169">
        <f t="shared" ref="R72" si="171">+O72*G72</f>
        <v>19570.481412239998</v>
      </c>
      <c r="S72" s="169">
        <f t="shared" ref="S72" si="172">TRUNC(SUM(Q72:R72),2)</f>
        <v>30936.59</v>
      </c>
      <c r="T72" s="161">
        <f t="shared" si="153"/>
        <v>1.2903561179408881E-2</v>
      </c>
    </row>
    <row r="73" spans="2:20" ht="30" customHeight="1" x14ac:dyDescent="0.25">
      <c r="B73" s="162" t="s">
        <v>1518</v>
      </c>
      <c r="C73" s="160" t="s">
        <v>1516</v>
      </c>
      <c r="D73" s="171" t="s">
        <v>31</v>
      </c>
      <c r="E73" s="163" t="s">
        <v>1517</v>
      </c>
      <c r="F73" s="160" t="s">
        <v>2</v>
      </c>
      <c r="G73" s="164">
        <v>425.55</v>
      </c>
      <c r="H73" s="165">
        <v>2.33</v>
      </c>
      <c r="I73" s="166">
        <v>16.09</v>
      </c>
      <c r="J73" s="167">
        <f t="shared" ref="J73" si="173">TRUNC(SUM(H73:I73),2)</f>
        <v>18.420000000000002</v>
      </c>
      <c r="K73" s="168">
        <f t="shared" ref="K73" si="174">+H73*G73</f>
        <v>991.53150000000005</v>
      </c>
      <c r="L73" s="169">
        <f t="shared" ref="L73" si="175">+I73*G73</f>
        <v>6847.0995000000003</v>
      </c>
      <c r="M73" s="170">
        <f t="shared" ref="M73" si="176">TRUNC(SUM(K73:L73),2)</f>
        <v>7838.63</v>
      </c>
      <c r="N73" s="165">
        <f t="shared" ref="N73" si="177">+H73*(1+$T$10)</f>
        <v>2.8416680000000003</v>
      </c>
      <c r="O73" s="166">
        <f t="shared" ref="O73" si="178">+I73*(1+$T$10)</f>
        <v>19.623363999999999</v>
      </c>
      <c r="P73" s="167">
        <f t="shared" ref="P73" si="179">TRUNC(SUM(N73:O73),2)</f>
        <v>22.46</v>
      </c>
      <c r="Q73" s="168">
        <f t="shared" ref="Q73" si="180">+N73*G73</f>
        <v>1209.2718174000001</v>
      </c>
      <c r="R73" s="169">
        <f t="shared" ref="R73" si="181">+O73*G73</f>
        <v>8350.7225502000001</v>
      </c>
      <c r="S73" s="169">
        <f t="shared" ref="S73" si="182">TRUNC(SUM(Q73:R73),2)</f>
        <v>9559.99</v>
      </c>
      <c r="T73" s="161">
        <f t="shared" si="153"/>
        <v>3.9874438598286729E-3</v>
      </c>
    </row>
    <row r="74" spans="2:20" ht="30" customHeight="1" x14ac:dyDescent="0.25">
      <c r="B74" s="162"/>
      <c r="C74" s="160"/>
      <c r="D74" s="171"/>
      <c r="E74" s="163"/>
      <c r="F74" s="160"/>
      <c r="G74" s="164"/>
      <c r="H74" s="165"/>
      <c r="I74" s="166"/>
      <c r="J74" s="167"/>
      <c r="K74" s="168"/>
      <c r="L74" s="168"/>
      <c r="M74" s="426"/>
      <c r="N74" s="165"/>
      <c r="O74" s="166"/>
      <c r="P74" s="167"/>
      <c r="Q74" s="168"/>
      <c r="R74" s="168"/>
      <c r="S74" s="168"/>
      <c r="T74" s="161"/>
    </row>
    <row r="75" spans="2:20" ht="24.95" customHeight="1" x14ac:dyDescent="0.25">
      <c r="B75" s="327">
        <v>7</v>
      </c>
      <c r="C75" s="328"/>
      <c r="D75" s="328"/>
      <c r="E75" s="329" t="s">
        <v>451</v>
      </c>
      <c r="F75" s="330"/>
      <c r="G75" s="331"/>
      <c r="H75" s="332"/>
      <c r="I75" s="330"/>
      <c r="J75" s="333"/>
      <c r="K75" s="391">
        <f>SUM(K76:K85)</f>
        <v>12665.98</v>
      </c>
      <c r="L75" s="391">
        <f>SUM(L76:L85)</f>
        <v>14444.330000000002</v>
      </c>
      <c r="M75" s="391">
        <f>SUM(M76:M85)</f>
        <v>27110.309999999998</v>
      </c>
      <c r="N75" s="396">
        <f t="shared" si="33"/>
        <v>0</v>
      </c>
      <c r="O75" s="350">
        <f t="shared" si="34"/>
        <v>0</v>
      </c>
      <c r="P75" s="351">
        <f t="shared" si="159"/>
        <v>0</v>
      </c>
      <c r="Q75" s="391">
        <f>SUM(Q76:Q85)</f>
        <v>15447.429208000001</v>
      </c>
      <c r="R75" s="391">
        <f>SUM(R76:R85)</f>
        <v>17616.304868000003</v>
      </c>
      <c r="S75" s="391">
        <f>SUM(S76:S85)</f>
        <v>33063.68</v>
      </c>
      <c r="T75" s="334">
        <f>+S75/$S$213</f>
        <v>1.3790764195291008E-2</v>
      </c>
    </row>
    <row r="76" spans="2:20" ht="38.25" x14ac:dyDescent="0.25">
      <c r="B76" s="162" t="s">
        <v>1450</v>
      </c>
      <c r="C76" s="160">
        <v>92029</v>
      </c>
      <c r="D76" s="171" t="s">
        <v>31</v>
      </c>
      <c r="E76" s="163" t="s">
        <v>899</v>
      </c>
      <c r="F76" s="160" t="s">
        <v>22</v>
      </c>
      <c r="G76" s="164">
        <v>4</v>
      </c>
      <c r="H76" s="165">
        <v>18.54</v>
      </c>
      <c r="I76" s="166">
        <f>47.02-H76</f>
        <v>28.480000000000004</v>
      </c>
      <c r="J76" s="167">
        <f t="shared" si="155"/>
        <v>47.02</v>
      </c>
      <c r="K76" s="168">
        <f t="shared" si="156"/>
        <v>74.16</v>
      </c>
      <c r="L76" s="169">
        <f t="shared" si="157"/>
        <v>113.92000000000002</v>
      </c>
      <c r="M76" s="170">
        <f t="shared" si="158"/>
        <v>188.08</v>
      </c>
      <c r="N76" s="165">
        <f t="shared" si="33"/>
        <v>22.611384000000001</v>
      </c>
      <c r="O76" s="166">
        <f t="shared" si="34"/>
        <v>34.734208000000002</v>
      </c>
      <c r="P76" s="167">
        <f t="shared" si="159"/>
        <v>57.34</v>
      </c>
      <c r="Q76" s="168">
        <f t="shared" si="160"/>
        <v>90.445536000000004</v>
      </c>
      <c r="R76" s="169">
        <f t="shared" si="161"/>
        <v>138.93683200000001</v>
      </c>
      <c r="S76" s="169">
        <f t="shared" si="162"/>
        <v>229.38</v>
      </c>
      <c r="T76" s="161">
        <f t="shared" ref="T76:T85" si="183">+S76/$S$213</f>
        <v>9.5673726914724896E-5</v>
      </c>
    </row>
    <row r="77" spans="2:20" ht="30" customHeight="1" x14ac:dyDescent="0.25">
      <c r="B77" s="162" t="s">
        <v>1451</v>
      </c>
      <c r="C77" s="160">
        <v>91969</v>
      </c>
      <c r="D77" s="171" t="s">
        <v>31</v>
      </c>
      <c r="E77" s="163" t="s">
        <v>764</v>
      </c>
      <c r="F77" s="160" t="s">
        <v>22</v>
      </c>
      <c r="G77" s="164">
        <v>2</v>
      </c>
      <c r="H77" s="165">
        <v>25.86</v>
      </c>
      <c r="I77" s="166">
        <v>41.51</v>
      </c>
      <c r="J77" s="167">
        <f t="shared" ref="J77" si="184">TRUNC(SUM(H77:I77),2)</f>
        <v>67.37</v>
      </c>
      <c r="K77" s="168">
        <f t="shared" si="156"/>
        <v>51.72</v>
      </c>
      <c r="L77" s="169">
        <f t="shared" si="157"/>
        <v>83.02</v>
      </c>
      <c r="M77" s="170">
        <f t="shared" si="158"/>
        <v>134.74</v>
      </c>
      <c r="N77" s="165">
        <f t="shared" ref="N77:N135" si="185">+H77*(1+$T$10)</f>
        <v>31.538855999999999</v>
      </c>
      <c r="O77" s="166">
        <f t="shared" ref="O77:O135" si="186">+I77*(1+$T$10)</f>
        <v>50.625596000000002</v>
      </c>
      <c r="P77" s="167">
        <f t="shared" si="159"/>
        <v>82.16</v>
      </c>
      <c r="Q77" s="168">
        <f t="shared" si="160"/>
        <v>63.077711999999998</v>
      </c>
      <c r="R77" s="169">
        <f t="shared" si="161"/>
        <v>101.251192</v>
      </c>
      <c r="S77" s="169">
        <f t="shared" si="162"/>
        <v>164.32</v>
      </c>
      <c r="T77" s="161">
        <f t="shared" si="183"/>
        <v>6.8537391257422604E-5</v>
      </c>
    </row>
    <row r="78" spans="2:20" ht="38.25" x14ac:dyDescent="0.25">
      <c r="B78" s="162" t="s">
        <v>1452</v>
      </c>
      <c r="C78" s="160" t="s">
        <v>900</v>
      </c>
      <c r="D78" s="171" t="s">
        <v>31</v>
      </c>
      <c r="E78" s="163" t="s">
        <v>901</v>
      </c>
      <c r="F78" s="160" t="s">
        <v>22</v>
      </c>
      <c r="G78" s="164">
        <v>149</v>
      </c>
      <c r="H78" s="165">
        <v>16.079999999999998</v>
      </c>
      <c r="I78" s="166">
        <v>25.42</v>
      </c>
      <c r="J78" s="167">
        <f t="shared" ref="J78:J80" si="187">TRUNC(SUM(H78:I78),2)</f>
        <v>41.5</v>
      </c>
      <c r="K78" s="168">
        <f t="shared" si="156"/>
        <v>2395.9199999999996</v>
      </c>
      <c r="L78" s="169">
        <f t="shared" si="157"/>
        <v>3787.5800000000004</v>
      </c>
      <c r="M78" s="170">
        <f t="shared" si="158"/>
        <v>6183.5</v>
      </c>
      <c r="N78" s="165">
        <f t="shared" si="185"/>
        <v>19.611167999999999</v>
      </c>
      <c r="O78" s="166">
        <f t="shared" si="186"/>
        <v>31.002232000000003</v>
      </c>
      <c r="P78" s="167">
        <f t="shared" si="159"/>
        <v>50.61</v>
      </c>
      <c r="Q78" s="168">
        <f t="shared" si="160"/>
        <v>2922.0640319999998</v>
      </c>
      <c r="R78" s="169">
        <f t="shared" si="161"/>
        <v>4619.3325680000007</v>
      </c>
      <c r="S78" s="169">
        <f t="shared" si="162"/>
        <v>7541.39</v>
      </c>
      <c r="T78" s="161">
        <f t="shared" si="183"/>
        <v>3.1454917055429299E-3</v>
      </c>
    </row>
    <row r="79" spans="2:20" ht="30" customHeight="1" x14ac:dyDescent="0.25">
      <c r="B79" s="162" t="s">
        <v>893</v>
      </c>
      <c r="C79" s="160" t="s">
        <v>305</v>
      </c>
      <c r="D79" s="171" t="s">
        <v>31</v>
      </c>
      <c r="E79" s="163" t="s">
        <v>306</v>
      </c>
      <c r="F79" s="160" t="s">
        <v>22</v>
      </c>
      <c r="G79" s="164">
        <v>18</v>
      </c>
      <c r="H79" s="165">
        <v>13.65</v>
      </c>
      <c r="I79" s="166">
        <v>23.52</v>
      </c>
      <c r="J79" s="167">
        <f t="shared" si="187"/>
        <v>37.17</v>
      </c>
      <c r="K79" s="168">
        <f t="shared" si="156"/>
        <v>245.70000000000002</v>
      </c>
      <c r="L79" s="169">
        <f t="shared" si="157"/>
        <v>423.36</v>
      </c>
      <c r="M79" s="170">
        <f t="shared" si="158"/>
        <v>669.06</v>
      </c>
      <c r="N79" s="165">
        <f t="shared" si="185"/>
        <v>16.647539999999999</v>
      </c>
      <c r="O79" s="166">
        <f t="shared" si="186"/>
        <v>28.684992000000001</v>
      </c>
      <c r="P79" s="167">
        <f t="shared" si="159"/>
        <v>45.33</v>
      </c>
      <c r="Q79" s="168">
        <f t="shared" si="160"/>
        <v>299.65571999999997</v>
      </c>
      <c r="R79" s="169">
        <f t="shared" si="161"/>
        <v>516.32985600000006</v>
      </c>
      <c r="S79" s="169">
        <f t="shared" si="162"/>
        <v>815.98</v>
      </c>
      <c r="T79" s="161">
        <f t="shared" si="183"/>
        <v>3.4034287072925811E-4</v>
      </c>
    </row>
    <row r="80" spans="2:20" ht="25.5" x14ac:dyDescent="0.25">
      <c r="B80" s="162" t="s">
        <v>894</v>
      </c>
      <c r="C80" s="160" t="s">
        <v>761</v>
      </c>
      <c r="D80" s="171" t="s">
        <v>31</v>
      </c>
      <c r="E80" s="163" t="s">
        <v>762</v>
      </c>
      <c r="F80" s="160" t="s">
        <v>22</v>
      </c>
      <c r="G80" s="164">
        <v>5</v>
      </c>
      <c r="H80" s="165">
        <v>18.54</v>
      </c>
      <c r="I80" s="166">
        <v>32.36</v>
      </c>
      <c r="J80" s="167">
        <f t="shared" si="187"/>
        <v>50.9</v>
      </c>
      <c r="K80" s="168">
        <f t="shared" si="156"/>
        <v>92.699999999999989</v>
      </c>
      <c r="L80" s="169">
        <f t="shared" si="157"/>
        <v>161.80000000000001</v>
      </c>
      <c r="M80" s="170">
        <f t="shared" si="158"/>
        <v>254.5</v>
      </c>
      <c r="N80" s="165">
        <f t="shared" si="185"/>
        <v>22.611384000000001</v>
      </c>
      <c r="O80" s="166">
        <f t="shared" si="186"/>
        <v>39.466256000000001</v>
      </c>
      <c r="P80" s="167">
        <f t="shared" si="159"/>
        <v>62.07</v>
      </c>
      <c r="Q80" s="168">
        <f t="shared" si="160"/>
        <v>113.05692000000001</v>
      </c>
      <c r="R80" s="169">
        <f t="shared" si="161"/>
        <v>197.33127999999999</v>
      </c>
      <c r="S80" s="169">
        <f t="shared" si="162"/>
        <v>310.38</v>
      </c>
      <c r="T80" s="161">
        <f t="shared" si="183"/>
        <v>1.2945858993718858E-4</v>
      </c>
    </row>
    <row r="81" spans="2:20" ht="38.25" x14ac:dyDescent="0.25">
      <c r="B81" s="162" t="s">
        <v>895</v>
      </c>
      <c r="C81" s="160" t="s">
        <v>902</v>
      </c>
      <c r="D81" s="171" t="s">
        <v>875</v>
      </c>
      <c r="E81" s="163" t="s">
        <v>903</v>
      </c>
      <c r="F81" s="160" t="s">
        <v>227</v>
      </c>
      <c r="G81" s="164">
        <v>3</v>
      </c>
      <c r="H81" s="165">
        <v>4.4000000000000004</v>
      </c>
      <c r="I81" s="166">
        <f>16.26-H81</f>
        <v>11.860000000000001</v>
      </c>
      <c r="J81" s="167">
        <f t="shared" ref="J81" si="188">TRUNC(SUM(H81:I81),2)</f>
        <v>16.260000000000002</v>
      </c>
      <c r="K81" s="168">
        <f t="shared" ref="K81:K83" si="189">+H81*G81</f>
        <v>13.200000000000001</v>
      </c>
      <c r="L81" s="169">
        <f t="shared" ref="L81:L83" si="190">+I81*G81</f>
        <v>35.580000000000005</v>
      </c>
      <c r="M81" s="170">
        <f t="shared" ref="M81:M83" si="191">TRUNC(SUM(K81:L81),2)</f>
        <v>48.78</v>
      </c>
      <c r="N81" s="165">
        <f t="shared" ref="N81:N83" si="192">+H81*(1+$T$10)</f>
        <v>5.3662400000000003</v>
      </c>
      <c r="O81" s="166">
        <f t="shared" ref="O81:O83" si="193">+I81*(1+$T$10)</f>
        <v>14.464456000000002</v>
      </c>
      <c r="P81" s="167">
        <f t="shared" ref="P81:P83" si="194">TRUNC(SUM(N81:O81),2)</f>
        <v>19.829999999999998</v>
      </c>
      <c r="Q81" s="168">
        <f t="shared" ref="Q81:Q83" si="195">+N81*G81</f>
        <v>16.09872</v>
      </c>
      <c r="R81" s="169">
        <f t="shared" ref="R81:R83" si="196">+O81*G81</f>
        <v>43.393368000000009</v>
      </c>
      <c r="S81" s="169">
        <f t="shared" ref="S81:S83" si="197">TRUNC(SUM(Q81:R81),2)</f>
        <v>59.49</v>
      </c>
      <c r="T81" s="161">
        <f t="shared" si="183"/>
        <v>2.4813104953164989E-5</v>
      </c>
    </row>
    <row r="82" spans="2:20" ht="30" customHeight="1" x14ac:dyDescent="0.25">
      <c r="B82" s="162" t="s">
        <v>896</v>
      </c>
      <c r="C82" s="160" t="s">
        <v>904</v>
      </c>
      <c r="D82" s="171" t="s">
        <v>905</v>
      </c>
      <c r="E82" s="163" t="s">
        <v>1388</v>
      </c>
      <c r="F82" s="160" t="s">
        <v>847</v>
      </c>
      <c r="G82" s="164">
        <v>478</v>
      </c>
      <c r="H82" s="165">
        <v>8.92</v>
      </c>
      <c r="I82" s="166">
        <v>5.64</v>
      </c>
      <c r="J82" s="167">
        <f t="shared" ref="J82" si="198">TRUNC(SUM(H82:I82),2)</f>
        <v>14.56</v>
      </c>
      <c r="K82" s="168">
        <f t="shared" si="189"/>
        <v>4263.76</v>
      </c>
      <c r="L82" s="169">
        <f t="shared" si="190"/>
        <v>2695.92</v>
      </c>
      <c r="M82" s="170">
        <f t="shared" si="191"/>
        <v>6959.68</v>
      </c>
      <c r="N82" s="165">
        <f t="shared" si="192"/>
        <v>10.878832000000001</v>
      </c>
      <c r="O82" s="166">
        <f t="shared" si="193"/>
        <v>6.8785439999999998</v>
      </c>
      <c r="P82" s="167">
        <f t="shared" si="194"/>
        <v>17.75</v>
      </c>
      <c r="Q82" s="168">
        <f t="shared" si="195"/>
        <v>5200.0816960000002</v>
      </c>
      <c r="R82" s="169">
        <f t="shared" si="196"/>
        <v>3287.9440319999999</v>
      </c>
      <c r="S82" s="169">
        <f t="shared" si="197"/>
        <v>8488.02</v>
      </c>
      <c r="T82" s="161">
        <f t="shared" si="183"/>
        <v>3.5403283090361991E-3</v>
      </c>
    </row>
    <row r="83" spans="2:20" ht="30" customHeight="1" x14ac:dyDescent="0.25">
      <c r="B83" s="162" t="s">
        <v>897</v>
      </c>
      <c r="C83" s="160" t="s">
        <v>907</v>
      </c>
      <c r="D83" s="171" t="s">
        <v>905</v>
      </c>
      <c r="E83" s="163" t="s">
        <v>1389</v>
      </c>
      <c r="F83" s="160" t="s">
        <v>227</v>
      </c>
      <c r="G83" s="164">
        <v>370</v>
      </c>
      <c r="H83" s="165">
        <v>9.85</v>
      </c>
      <c r="I83" s="166">
        <v>10.96</v>
      </c>
      <c r="J83" s="167">
        <v>20.81</v>
      </c>
      <c r="K83" s="168">
        <f t="shared" si="189"/>
        <v>3644.5</v>
      </c>
      <c r="L83" s="169">
        <f t="shared" si="190"/>
        <v>4055.2000000000003</v>
      </c>
      <c r="M83" s="170">
        <f t="shared" si="191"/>
        <v>7699.7</v>
      </c>
      <c r="N83" s="165">
        <f t="shared" si="192"/>
        <v>12.013059999999999</v>
      </c>
      <c r="O83" s="166">
        <f t="shared" si="193"/>
        <v>13.366816000000002</v>
      </c>
      <c r="P83" s="167">
        <f t="shared" si="194"/>
        <v>25.37</v>
      </c>
      <c r="Q83" s="168">
        <f t="shared" si="195"/>
        <v>4444.8321999999998</v>
      </c>
      <c r="R83" s="169">
        <f t="shared" si="196"/>
        <v>4945.7219200000009</v>
      </c>
      <c r="S83" s="169">
        <f t="shared" si="197"/>
        <v>9390.5499999999993</v>
      </c>
      <c r="T83" s="161">
        <f t="shared" si="183"/>
        <v>3.9167709315505702E-3</v>
      </c>
    </row>
    <row r="84" spans="2:20" ht="42.75" customHeight="1" x14ac:dyDescent="0.25">
      <c r="B84" s="162" t="s">
        <v>1453</v>
      </c>
      <c r="C84" s="160">
        <v>91963</v>
      </c>
      <c r="D84" s="171" t="s">
        <v>31</v>
      </c>
      <c r="E84" s="163" t="s">
        <v>1285</v>
      </c>
      <c r="F84" s="160" t="s">
        <v>22</v>
      </c>
      <c r="G84" s="164">
        <v>78</v>
      </c>
      <c r="H84" s="165">
        <v>23.44</v>
      </c>
      <c r="I84" s="166">
        <v>38.450000000000003</v>
      </c>
      <c r="J84" s="167">
        <f t="shared" ref="J84:J85" si="199">TRUNC(SUM(H84:I84),2)</f>
        <v>61.89</v>
      </c>
      <c r="K84" s="168">
        <f t="shared" ref="K84:K85" si="200">+H84*G84</f>
        <v>1828.3200000000002</v>
      </c>
      <c r="L84" s="169">
        <f t="shared" ref="L84:L85" si="201">+I84*G84</f>
        <v>2999.1000000000004</v>
      </c>
      <c r="M84" s="170">
        <f t="shared" ref="M84:M85" si="202">TRUNC(SUM(K84:L84),2)</f>
        <v>4827.42</v>
      </c>
      <c r="N84" s="165">
        <f t="shared" ref="N84:N85" si="203">+H84*(1+$T$10)</f>
        <v>28.587424000000002</v>
      </c>
      <c r="O84" s="166">
        <f t="shared" ref="O84:O85" si="204">+I84*(1+$T$10)</f>
        <v>46.893620000000006</v>
      </c>
      <c r="P84" s="167">
        <f t="shared" ref="P84:P85" si="205">TRUNC(SUM(N84:O84),2)</f>
        <v>75.48</v>
      </c>
      <c r="Q84" s="168">
        <f t="shared" ref="Q84:Q85" si="206">+N84*G84</f>
        <v>2229.8190720000002</v>
      </c>
      <c r="R84" s="169">
        <f t="shared" ref="R84:R85" si="207">+O84*G84</f>
        <v>3657.7023600000002</v>
      </c>
      <c r="S84" s="169">
        <f t="shared" ref="S84:S85" si="208">TRUNC(SUM(Q84:R84),2)</f>
        <v>5887.52</v>
      </c>
      <c r="T84" s="161">
        <f t="shared" si="183"/>
        <v>2.4556673671853745E-3</v>
      </c>
    </row>
    <row r="85" spans="2:20" ht="30" customHeight="1" x14ac:dyDescent="0.25">
      <c r="B85" s="162" t="s">
        <v>1454</v>
      </c>
      <c r="C85" s="160" t="s">
        <v>1286</v>
      </c>
      <c r="D85" s="171" t="s">
        <v>31</v>
      </c>
      <c r="E85" s="163" t="s">
        <v>1287</v>
      </c>
      <c r="F85" s="160" t="s">
        <v>22</v>
      </c>
      <c r="G85" s="164">
        <v>5</v>
      </c>
      <c r="H85" s="165">
        <v>11.2</v>
      </c>
      <c r="I85" s="166">
        <v>17.77</v>
      </c>
      <c r="J85" s="167">
        <f t="shared" si="199"/>
        <v>28.97</v>
      </c>
      <c r="K85" s="168">
        <f t="shared" si="200"/>
        <v>56</v>
      </c>
      <c r="L85" s="169">
        <f t="shared" si="201"/>
        <v>88.85</v>
      </c>
      <c r="M85" s="170">
        <f t="shared" si="202"/>
        <v>144.85</v>
      </c>
      <c r="N85" s="165">
        <f t="shared" si="203"/>
        <v>13.659519999999999</v>
      </c>
      <c r="O85" s="166">
        <f t="shared" si="204"/>
        <v>21.672291999999999</v>
      </c>
      <c r="P85" s="167">
        <f t="shared" si="205"/>
        <v>35.33</v>
      </c>
      <c r="Q85" s="168">
        <f t="shared" si="206"/>
        <v>68.297599999999989</v>
      </c>
      <c r="R85" s="169">
        <f t="shared" si="207"/>
        <v>108.36145999999999</v>
      </c>
      <c r="S85" s="169">
        <f t="shared" si="208"/>
        <v>176.65</v>
      </c>
      <c r="T85" s="161">
        <f t="shared" si="183"/>
        <v>7.3680198184175409E-5</v>
      </c>
    </row>
    <row r="86" spans="2:20" ht="37.5" customHeight="1" x14ac:dyDescent="0.25">
      <c r="B86" s="162"/>
      <c r="C86" s="160"/>
      <c r="D86" s="171"/>
      <c r="E86" s="163"/>
      <c r="F86" s="160"/>
      <c r="G86" s="164"/>
      <c r="H86" s="165"/>
      <c r="I86" s="166"/>
      <c r="J86" s="167"/>
      <c r="K86" s="168"/>
      <c r="L86" s="169"/>
      <c r="M86" s="170"/>
      <c r="N86" s="165"/>
      <c r="O86" s="166"/>
      <c r="P86" s="167"/>
      <c r="Q86" s="168"/>
      <c r="R86" s="169"/>
      <c r="S86" s="169"/>
      <c r="T86" s="161"/>
    </row>
    <row r="87" spans="2:20" ht="24.95" customHeight="1" x14ac:dyDescent="0.25">
      <c r="B87" s="327">
        <v>8</v>
      </c>
      <c r="C87" s="328"/>
      <c r="D87" s="328"/>
      <c r="E87" s="329" t="s">
        <v>909</v>
      </c>
      <c r="F87" s="330"/>
      <c r="G87" s="331"/>
      <c r="H87" s="332"/>
      <c r="I87" s="330"/>
      <c r="J87" s="333">
        <f t="shared" ref="J87" si="209">TRUNC(SUM(H87:I87),2)</f>
        <v>0</v>
      </c>
      <c r="K87" s="391">
        <f t="shared" ref="K87:L87" si="210">SUM(K88:K102)</f>
        <v>9420.2799999999988</v>
      </c>
      <c r="L87" s="391">
        <f t="shared" si="210"/>
        <v>31184.549999999996</v>
      </c>
      <c r="M87" s="391">
        <f>SUM(M88:M102)</f>
        <v>40604.83</v>
      </c>
      <c r="N87" s="396">
        <f t="shared" si="185"/>
        <v>0</v>
      </c>
      <c r="O87" s="350">
        <f t="shared" si="186"/>
        <v>0</v>
      </c>
      <c r="P87" s="351">
        <f t="shared" ref="P87" si="211">TRUNC(SUM(N87:O87),2)</f>
        <v>0</v>
      </c>
      <c r="Q87" s="391">
        <f t="shared" ref="Q87" si="212">SUM(Q88:Q102)</f>
        <v>11488.973488</v>
      </c>
      <c r="R87" s="391">
        <f t="shared" ref="R87" si="213">SUM(R88:R102)</f>
        <v>38032.677180000006</v>
      </c>
      <c r="S87" s="391">
        <f>SUM(S88:S102)</f>
        <v>49521.56</v>
      </c>
      <c r="T87" s="334">
        <f t="shared" ref="T87:T119" si="214">+S87/$S$213</f>
        <v>2.0655297793317481E-2</v>
      </c>
    </row>
    <row r="88" spans="2:20" ht="30" customHeight="1" x14ac:dyDescent="0.25">
      <c r="B88" s="162" t="s">
        <v>910</v>
      </c>
      <c r="C88" s="160" t="s">
        <v>925</v>
      </c>
      <c r="D88" s="171" t="s">
        <v>875</v>
      </c>
      <c r="E88" s="163" t="s">
        <v>926</v>
      </c>
      <c r="F88" s="160" t="s">
        <v>227</v>
      </c>
      <c r="G88" s="164">
        <v>6</v>
      </c>
      <c r="H88" s="165">
        <v>34.94</v>
      </c>
      <c r="I88" s="166">
        <v>57.68</v>
      </c>
      <c r="J88" s="167">
        <f t="shared" si="155"/>
        <v>92.62</v>
      </c>
      <c r="K88" s="168">
        <f t="shared" si="156"/>
        <v>209.64</v>
      </c>
      <c r="L88" s="169">
        <f t="shared" si="157"/>
        <v>346.08</v>
      </c>
      <c r="M88" s="170">
        <f t="shared" si="158"/>
        <v>555.72</v>
      </c>
      <c r="N88" s="165">
        <f t="shared" si="185"/>
        <v>42.612823999999996</v>
      </c>
      <c r="O88" s="166">
        <f t="shared" si="186"/>
        <v>70.346528000000006</v>
      </c>
      <c r="P88" s="167">
        <f t="shared" si="159"/>
        <v>112.95</v>
      </c>
      <c r="Q88" s="168">
        <f t="shared" si="160"/>
        <v>255.67694399999999</v>
      </c>
      <c r="R88" s="169">
        <f t="shared" si="161"/>
        <v>422.07916800000004</v>
      </c>
      <c r="S88" s="169">
        <f t="shared" si="162"/>
        <v>677.75</v>
      </c>
      <c r="T88" s="161">
        <f t="shared" si="214"/>
        <v>2.8268754214166365E-4</v>
      </c>
    </row>
    <row r="89" spans="2:20" ht="30" customHeight="1" x14ac:dyDescent="0.25">
      <c r="B89" s="162" t="s">
        <v>911</v>
      </c>
      <c r="C89" s="160" t="s">
        <v>927</v>
      </c>
      <c r="D89" s="171" t="s">
        <v>875</v>
      </c>
      <c r="E89" s="163" t="s">
        <v>928</v>
      </c>
      <c r="F89" s="160" t="s">
        <v>227</v>
      </c>
      <c r="G89" s="164">
        <v>2</v>
      </c>
      <c r="H89" s="165">
        <v>34.94</v>
      </c>
      <c r="I89" s="166">
        <v>80.44</v>
      </c>
      <c r="J89" s="167">
        <f t="shared" si="155"/>
        <v>115.38</v>
      </c>
      <c r="K89" s="168">
        <f t="shared" si="156"/>
        <v>69.88</v>
      </c>
      <c r="L89" s="169">
        <f t="shared" si="157"/>
        <v>160.88</v>
      </c>
      <c r="M89" s="170">
        <f t="shared" si="158"/>
        <v>230.76</v>
      </c>
      <c r="N89" s="165">
        <f t="shared" si="185"/>
        <v>42.612823999999996</v>
      </c>
      <c r="O89" s="166">
        <f t="shared" si="186"/>
        <v>98.104624000000001</v>
      </c>
      <c r="P89" s="167">
        <f t="shared" si="159"/>
        <v>140.71</v>
      </c>
      <c r="Q89" s="168">
        <f t="shared" si="160"/>
        <v>85.225647999999993</v>
      </c>
      <c r="R89" s="169">
        <f t="shared" si="161"/>
        <v>196.209248</v>
      </c>
      <c r="S89" s="169">
        <f t="shared" si="162"/>
        <v>281.43</v>
      </c>
      <c r="T89" s="161">
        <f t="shared" si="214"/>
        <v>1.1738362963471546E-4</v>
      </c>
    </row>
    <row r="90" spans="2:20" ht="30" customHeight="1" x14ac:dyDescent="0.25">
      <c r="B90" s="162" t="s">
        <v>912</v>
      </c>
      <c r="C90" s="160" t="s">
        <v>929</v>
      </c>
      <c r="D90" s="171" t="s">
        <v>214</v>
      </c>
      <c r="E90" s="163" t="s">
        <v>930</v>
      </c>
      <c r="F90" s="160" t="s">
        <v>22</v>
      </c>
      <c r="G90" s="164">
        <v>8</v>
      </c>
      <c r="H90" s="165">
        <v>12.21</v>
      </c>
      <c r="I90" s="166">
        <v>61.4</v>
      </c>
      <c r="J90" s="167">
        <f t="shared" si="155"/>
        <v>73.61</v>
      </c>
      <c r="K90" s="168">
        <f t="shared" si="156"/>
        <v>97.68</v>
      </c>
      <c r="L90" s="169">
        <f t="shared" si="157"/>
        <v>491.2</v>
      </c>
      <c r="M90" s="170">
        <f t="shared" si="158"/>
        <v>588.88</v>
      </c>
      <c r="N90" s="165">
        <f t="shared" si="185"/>
        <v>14.891316000000002</v>
      </c>
      <c r="O90" s="166">
        <f t="shared" si="186"/>
        <v>74.883439999999993</v>
      </c>
      <c r="P90" s="167">
        <f t="shared" si="159"/>
        <v>89.77</v>
      </c>
      <c r="Q90" s="168">
        <f t="shared" si="160"/>
        <v>119.13052800000001</v>
      </c>
      <c r="R90" s="169">
        <f t="shared" si="161"/>
        <v>599.06751999999994</v>
      </c>
      <c r="S90" s="169">
        <f t="shared" si="162"/>
        <v>718.19</v>
      </c>
      <c r="T90" s="161">
        <f t="shared" si="214"/>
        <v>2.9955494782843439E-4</v>
      </c>
    </row>
    <row r="91" spans="2:20" ht="30" customHeight="1" x14ac:dyDescent="0.25">
      <c r="B91" s="162" t="s">
        <v>913</v>
      </c>
      <c r="C91" s="160" t="s">
        <v>931</v>
      </c>
      <c r="D91" s="171" t="s">
        <v>875</v>
      </c>
      <c r="E91" s="163" t="s">
        <v>932</v>
      </c>
      <c r="F91" s="160" t="s">
        <v>227</v>
      </c>
      <c r="G91" s="164">
        <v>3</v>
      </c>
      <c r="H91" s="165">
        <v>34.94</v>
      </c>
      <c r="I91" s="166">
        <v>57.68</v>
      </c>
      <c r="J91" s="167">
        <f t="shared" si="118"/>
        <v>92.62</v>
      </c>
      <c r="K91" s="168">
        <f>+H91*G91</f>
        <v>104.82</v>
      </c>
      <c r="L91" s="169">
        <f>+I91*G91</f>
        <v>173.04</v>
      </c>
      <c r="M91" s="170">
        <f t="shared" ref="M91" si="215">TRUNC(SUM(K91:L91),2)</f>
        <v>277.86</v>
      </c>
      <c r="N91" s="165">
        <f t="shared" si="185"/>
        <v>42.612823999999996</v>
      </c>
      <c r="O91" s="166">
        <f t="shared" si="186"/>
        <v>70.346528000000006</v>
      </c>
      <c r="P91" s="167">
        <f t="shared" si="120"/>
        <v>112.95</v>
      </c>
      <c r="Q91" s="168">
        <f t="shared" si="121"/>
        <v>127.838472</v>
      </c>
      <c r="R91" s="169">
        <f t="shared" si="122"/>
        <v>211.03958400000002</v>
      </c>
      <c r="S91" s="169">
        <f t="shared" si="123"/>
        <v>338.87</v>
      </c>
      <c r="T91" s="161">
        <f t="shared" si="214"/>
        <v>1.4134168558546005E-4</v>
      </c>
    </row>
    <row r="92" spans="2:20" ht="30" customHeight="1" x14ac:dyDescent="0.25">
      <c r="B92" s="162" t="s">
        <v>914</v>
      </c>
      <c r="C92" s="160" t="s">
        <v>757</v>
      </c>
      <c r="D92" s="171" t="s">
        <v>31</v>
      </c>
      <c r="E92" s="163" t="s">
        <v>758</v>
      </c>
      <c r="F92" s="160" t="s">
        <v>22</v>
      </c>
      <c r="G92" s="164">
        <v>10</v>
      </c>
      <c r="H92" s="165">
        <v>8.1</v>
      </c>
      <c r="I92" s="166">
        <v>75.7</v>
      </c>
      <c r="J92" s="167">
        <f t="shared" ref="J92:J95" si="216">TRUNC(SUM(H92:I92),2)</f>
        <v>83.8</v>
      </c>
      <c r="K92" s="168">
        <f t="shared" ref="K92:K95" si="217">+H92*G92</f>
        <v>81</v>
      </c>
      <c r="L92" s="169">
        <f t="shared" ref="L92:L95" si="218">+I92*G92</f>
        <v>757</v>
      </c>
      <c r="M92" s="170">
        <f t="shared" ref="M92:M95" si="219">TRUNC(SUM(K92:L92),2)</f>
        <v>838</v>
      </c>
      <c r="N92" s="165">
        <f t="shared" si="185"/>
        <v>9.8787599999999998</v>
      </c>
      <c r="O92" s="166">
        <f t="shared" si="186"/>
        <v>92.323720000000009</v>
      </c>
      <c r="P92" s="167">
        <f t="shared" ref="P92:P95" si="220">TRUNC(SUM(N92:O92),2)</f>
        <v>102.2</v>
      </c>
      <c r="Q92" s="168">
        <f t="shared" ref="Q92:Q95" si="221">+N92*G92</f>
        <v>98.787599999999998</v>
      </c>
      <c r="R92" s="169">
        <f t="shared" ref="R92:R95" si="222">+O92*G92</f>
        <v>923.23720000000003</v>
      </c>
      <c r="S92" s="169">
        <f t="shared" ref="S92:S95" si="223">TRUNC(SUM(Q92:R92),2)</f>
        <v>1022.02</v>
      </c>
      <c r="T92" s="161">
        <f t="shared" si="214"/>
        <v>4.2628155192862128E-4</v>
      </c>
    </row>
    <row r="93" spans="2:20" ht="30" customHeight="1" x14ac:dyDescent="0.25">
      <c r="B93" s="162" t="s">
        <v>915</v>
      </c>
      <c r="C93" s="160" t="s">
        <v>933</v>
      </c>
      <c r="D93" s="171" t="s">
        <v>875</v>
      </c>
      <c r="E93" s="163" t="s">
        <v>934</v>
      </c>
      <c r="F93" s="160" t="s">
        <v>227</v>
      </c>
      <c r="G93" s="164">
        <v>6</v>
      </c>
      <c r="H93" s="165">
        <v>34.94</v>
      </c>
      <c r="I93" s="166">
        <v>57.68</v>
      </c>
      <c r="J93" s="167">
        <f t="shared" si="216"/>
        <v>92.62</v>
      </c>
      <c r="K93" s="168">
        <f t="shared" si="217"/>
        <v>209.64</v>
      </c>
      <c r="L93" s="169">
        <f t="shared" si="218"/>
        <v>346.08</v>
      </c>
      <c r="M93" s="170">
        <f t="shared" si="219"/>
        <v>555.72</v>
      </c>
      <c r="N93" s="165">
        <f t="shared" si="185"/>
        <v>42.612823999999996</v>
      </c>
      <c r="O93" s="166">
        <f t="shared" si="186"/>
        <v>70.346528000000006</v>
      </c>
      <c r="P93" s="167">
        <f t="shared" si="220"/>
        <v>112.95</v>
      </c>
      <c r="Q93" s="168">
        <f t="shared" si="221"/>
        <v>255.67694399999999</v>
      </c>
      <c r="R93" s="169">
        <f t="shared" si="222"/>
        <v>422.07916800000004</v>
      </c>
      <c r="S93" s="169">
        <f t="shared" si="223"/>
        <v>677.75</v>
      </c>
      <c r="T93" s="161">
        <f t="shared" si="214"/>
        <v>2.8268754214166365E-4</v>
      </c>
    </row>
    <row r="94" spans="2:20" ht="30" customHeight="1" x14ac:dyDescent="0.25">
      <c r="B94" s="162" t="s">
        <v>916</v>
      </c>
      <c r="C94" s="160" t="s">
        <v>935</v>
      </c>
      <c r="D94" s="171" t="s">
        <v>875</v>
      </c>
      <c r="E94" s="163" t="s">
        <v>936</v>
      </c>
      <c r="F94" s="160" t="s">
        <v>227</v>
      </c>
      <c r="G94" s="164">
        <v>6</v>
      </c>
      <c r="H94" s="165">
        <v>34.94</v>
      </c>
      <c r="I94" s="166">
        <v>57.68</v>
      </c>
      <c r="J94" s="167">
        <f t="shared" si="216"/>
        <v>92.62</v>
      </c>
      <c r="K94" s="168">
        <f t="shared" si="217"/>
        <v>209.64</v>
      </c>
      <c r="L94" s="169">
        <f t="shared" si="218"/>
        <v>346.08</v>
      </c>
      <c r="M94" s="170">
        <f t="shared" si="219"/>
        <v>555.72</v>
      </c>
      <c r="N94" s="165">
        <f t="shared" si="185"/>
        <v>42.612823999999996</v>
      </c>
      <c r="O94" s="166">
        <f t="shared" si="186"/>
        <v>70.346528000000006</v>
      </c>
      <c r="P94" s="167">
        <f t="shared" si="220"/>
        <v>112.95</v>
      </c>
      <c r="Q94" s="168">
        <f t="shared" si="221"/>
        <v>255.67694399999999</v>
      </c>
      <c r="R94" s="169">
        <f t="shared" si="222"/>
        <v>422.07916800000004</v>
      </c>
      <c r="S94" s="169">
        <f t="shared" si="223"/>
        <v>677.75</v>
      </c>
      <c r="T94" s="161">
        <f t="shared" si="214"/>
        <v>2.8268754214166365E-4</v>
      </c>
    </row>
    <row r="95" spans="2:20" ht="30" customHeight="1" x14ac:dyDescent="0.25">
      <c r="B95" s="162" t="s">
        <v>917</v>
      </c>
      <c r="C95" s="160" t="s">
        <v>937</v>
      </c>
      <c r="D95" s="171" t="s">
        <v>177</v>
      </c>
      <c r="E95" s="163" t="s">
        <v>938</v>
      </c>
      <c r="F95" s="160" t="s">
        <v>227</v>
      </c>
      <c r="G95" s="164">
        <v>3</v>
      </c>
      <c r="H95" s="165">
        <v>25.25</v>
      </c>
      <c r="I95" s="166">
        <v>191.41</v>
      </c>
      <c r="J95" s="167">
        <f t="shared" si="216"/>
        <v>216.66</v>
      </c>
      <c r="K95" s="168">
        <f t="shared" si="217"/>
        <v>75.75</v>
      </c>
      <c r="L95" s="169">
        <f t="shared" si="218"/>
        <v>574.23</v>
      </c>
      <c r="M95" s="170">
        <f t="shared" si="219"/>
        <v>649.98</v>
      </c>
      <c r="N95" s="165">
        <f t="shared" si="185"/>
        <v>30.794900000000002</v>
      </c>
      <c r="O95" s="166">
        <f t="shared" si="186"/>
        <v>233.443636</v>
      </c>
      <c r="P95" s="167">
        <f t="shared" si="220"/>
        <v>264.23</v>
      </c>
      <c r="Q95" s="168">
        <f t="shared" si="221"/>
        <v>92.384700000000009</v>
      </c>
      <c r="R95" s="169">
        <f t="shared" si="222"/>
        <v>700.33090800000002</v>
      </c>
      <c r="S95" s="169">
        <f t="shared" si="223"/>
        <v>792.71</v>
      </c>
      <c r="T95" s="161">
        <f t="shared" si="214"/>
        <v>3.3063702180910097E-4</v>
      </c>
    </row>
    <row r="96" spans="2:20" ht="30" customHeight="1" x14ac:dyDescent="0.25">
      <c r="B96" s="162" t="s">
        <v>918</v>
      </c>
      <c r="C96" s="160" t="s">
        <v>939</v>
      </c>
      <c r="D96" s="171" t="s">
        <v>875</v>
      </c>
      <c r="E96" s="163" t="s">
        <v>940</v>
      </c>
      <c r="F96" s="160" t="s">
        <v>227</v>
      </c>
      <c r="G96" s="164">
        <v>4</v>
      </c>
      <c r="H96" s="165">
        <v>34.94</v>
      </c>
      <c r="I96" s="166">
        <v>80.44</v>
      </c>
      <c r="J96" s="167">
        <f t="shared" ref="J96" si="224">TRUNC(SUM(H96:I96),2)</f>
        <v>115.38</v>
      </c>
      <c r="K96" s="168">
        <f t="shared" ref="K96" si="225">+H96*G96</f>
        <v>139.76</v>
      </c>
      <c r="L96" s="169">
        <f t="shared" ref="L96" si="226">+I96*G96</f>
        <v>321.76</v>
      </c>
      <c r="M96" s="170">
        <f t="shared" ref="M96" si="227">TRUNC(SUM(K96:L96),2)</f>
        <v>461.52</v>
      </c>
      <c r="N96" s="165">
        <f t="shared" si="185"/>
        <v>42.612823999999996</v>
      </c>
      <c r="O96" s="166">
        <f t="shared" si="186"/>
        <v>98.104624000000001</v>
      </c>
      <c r="P96" s="167">
        <f t="shared" ref="P96" si="228">TRUNC(SUM(N96:O96),2)</f>
        <v>140.71</v>
      </c>
      <c r="Q96" s="168">
        <f t="shared" ref="Q96" si="229">+N96*G96</f>
        <v>170.45129599999999</v>
      </c>
      <c r="R96" s="169">
        <f t="shared" ref="R96" si="230">+O96*G96</f>
        <v>392.418496</v>
      </c>
      <c r="S96" s="169">
        <f t="shared" ref="S96" si="231">TRUNC(SUM(Q96:R96),2)</f>
        <v>562.86</v>
      </c>
      <c r="T96" s="161">
        <f t="shared" si="214"/>
        <v>2.3476725926943091E-4</v>
      </c>
    </row>
    <row r="97" spans="2:20" ht="30" customHeight="1" x14ac:dyDescent="0.25">
      <c r="B97" s="162" t="s">
        <v>919</v>
      </c>
      <c r="C97" s="160" t="s">
        <v>759</v>
      </c>
      <c r="D97" s="171" t="s">
        <v>214</v>
      </c>
      <c r="E97" s="163" t="s">
        <v>760</v>
      </c>
      <c r="F97" s="160" t="s">
        <v>22</v>
      </c>
      <c r="G97" s="164">
        <v>4</v>
      </c>
      <c r="H97" s="165">
        <v>12.21</v>
      </c>
      <c r="I97" s="166">
        <v>191.52</v>
      </c>
      <c r="J97" s="167">
        <f t="shared" ref="J97:J102" si="232">TRUNC(SUM(H97:I97),2)</f>
        <v>203.73</v>
      </c>
      <c r="K97" s="168">
        <f t="shared" ref="K97:K98" si="233">+H97*G97</f>
        <v>48.84</v>
      </c>
      <c r="L97" s="169">
        <f t="shared" ref="L97:L98" si="234">+I97*G97</f>
        <v>766.08</v>
      </c>
      <c r="M97" s="170">
        <f t="shared" ref="M97:M98" si="235">TRUNC(SUM(K97:L97),2)</f>
        <v>814.92</v>
      </c>
      <c r="N97" s="165">
        <f t="shared" si="185"/>
        <v>14.891316000000002</v>
      </c>
      <c r="O97" s="166">
        <f t="shared" si="186"/>
        <v>233.57779200000002</v>
      </c>
      <c r="P97" s="167">
        <f t="shared" ref="P97:P102" si="236">TRUNC(SUM(N97:O97),2)</f>
        <v>248.46</v>
      </c>
      <c r="Q97" s="168">
        <f t="shared" ref="Q97:Q102" si="237">+N97*G97</f>
        <v>59.565264000000006</v>
      </c>
      <c r="R97" s="169">
        <f t="shared" ref="R97:R102" si="238">+O97*G97</f>
        <v>934.31116800000007</v>
      </c>
      <c r="S97" s="169">
        <f t="shared" ref="S97:S102" si="239">TRUNC(SUM(Q97:R97),2)</f>
        <v>993.87</v>
      </c>
      <c r="T97" s="161">
        <f t="shared" si="214"/>
        <v>4.1454026928562925E-4</v>
      </c>
    </row>
    <row r="98" spans="2:20" ht="30" customHeight="1" x14ac:dyDescent="0.25">
      <c r="B98" s="162" t="s">
        <v>920</v>
      </c>
      <c r="C98" s="160" t="s">
        <v>941</v>
      </c>
      <c r="D98" s="171" t="s">
        <v>267</v>
      </c>
      <c r="E98" s="163" t="s">
        <v>942</v>
      </c>
      <c r="F98" s="160" t="s">
        <v>22</v>
      </c>
      <c r="G98" s="164">
        <v>414</v>
      </c>
      <c r="H98" s="165">
        <v>12.58</v>
      </c>
      <c r="I98" s="166">
        <v>17.32</v>
      </c>
      <c r="J98" s="167">
        <f t="shared" si="232"/>
        <v>29.9</v>
      </c>
      <c r="K98" s="168">
        <f t="shared" si="233"/>
        <v>5208.12</v>
      </c>
      <c r="L98" s="169">
        <f t="shared" si="234"/>
        <v>7170.4800000000005</v>
      </c>
      <c r="M98" s="170">
        <f t="shared" si="235"/>
        <v>12378.6</v>
      </c>
      <c r="N98" s="165">
        <f t="shared" si="185"/>
        <v>15.342568</v>
      </c>
      <c r="O98" s="166">
        <f t="shared" si="186"/>
        <v>21.123472</v>
      </c>
      <c r="P98" s="167">
        <f t="shared" si="236"/>
        <v>36.46</v>
      </c>
      <c r="Q98" s="168">
        <f t="shared" si="237"/>
        <v>6351.8231519999999</v>
      </c>
      <c r="R98" s="169">
        <f t="shared" si="238"/>
        <v>8745.1174080000001</v>
      </c>
      <c r="S98" s="169">
        <f t="shared" si="239"/>
        <v>15096.94</v>
      </c>
      <c r="T98" s="161">
        <f t="shared" si="214"/>
        <v>6.2968895056586755E-3</v>
      </c>
    </row>
    <row r="99" spans="2:20" ht="30" customHeight="1" x14ac:dyDescent="0.25">
      <c r="B99" s="162" t="s">
        <v>921</v>
      </c>
      <c r="C99" s="160" t="s">
        <v>943</v>
      </c>
      <c r="D99" s="171" t="s">
        <v>875</v>
      </c>
      <c r="E99" s="163" t="s">
        <v>944</v>
      </c>
      <c r="F99" s="160" t="s">
        <v>227</v>
      </c>
      <c r="G99" s="164">
        <v>1</v>
      </c>
      <c r="H99" s="165">
        <v>34.94</v>
      </c>
      <c r="I99" s="166">
        <v>56.39</v>
      </c>
      <c r="J99" s="167">
        <f t="shared" si="232"/>
        <v>91.33</v>
      </c>
      <c r="K99" s="168">
        <f>+H99*G99</f>
        <v>34.94</v>
      </c>
      <c r="L99" s="169">
        <f>+I99*G99</f>
        <v>56.39</v>
      </c>
      <c r="M99" s="170">
        <f t="shared" ref="M99" si="240">TRUNC(SUM(K99:L99),2)</f>
        <v>91.33</v>
      </c>
      <c r="N99" s="165">
        <f t="shared" si="185"/>
        <v>42.612823999999996</v>
      </c>
      <c r="O99" s="166">
        <f t="shared" si="186"/>
        <v>68.773244000000005</v>
      </c>
      <c r="P99" s="167">
        <f t="shared" si="236"/>
        <v>111.38</v>
      </c>
      <c r="Q99" s="168">
        <f t="shared" si="237"/>
        <v>42.612823999999996</v>
      </c>
      <c r="R99" s="169">
        <f t="shared" si="238"/>
        <v>68.773244000000005</v>
      </c>
      <c r="S99" s="169">
        <f t="shared" si="239"/>
        <v>111.38</v>
      </c>
      <c r="T99" s="161">
        <f t="shared" si="214"/>
        <v>4.6456272141259306E-5</v>
      </c>
    </row>
    <row r="100" spans="2:20" ht="30" customHeight="1" x14ac:dyDescent="0.25">
      <c r="B100" s="162" t="s">
        <v>922</v>
      </c>
      <c r="C100" s="160" t="s">
        <v>945</v>
      </c>
      <c r="D100" s="171" t="s">
        <v>31</v>
      </c>
      <c r="E100" s="163" t="s">
        <v>946</v>
      </c>
      <c r="F100" s="160" t="s">
        <v>22</v>
      </c>
      <c r="G100" s="164">
        <v>1</v>
      </c>
      <c r="H100" s="165">
        <v>39.24</v>
      </c>
      <c r="I100" s="166">
        <v>4818.8</v>
      </c>
      <c r="J100" s="167">
        <f t="shared" si="232"/>
        <v>4858.04</v>
      </c>
      <c r="K100" s="168">
        <f t="shared" ref="K100:K102" si="241">+H100*G100</f>
        <v>39.24</v>
      </c>
      <c r="L100" s="169">
        <f t="shared" ref="L100:L102" si="242">+I100*G100</f>
        <v>4818.8</v>
      </c>
      <c r="M100" s="170">
        <f t="shared" ref="M100:M102" si="243">TRUNC(SUM(K100:L100),2)</f>
        <v>4858.04</v>
      </c>
      <c r="N100" s="165">
        <f t="shared" si="185"/>
        <v>47.857104</v>
      </c>
      <c r="O100" s="166">
        <f t="shared" si="186"/>
        <v>5877.0084800000004</v>
      </c>
      <c r="P100" s="167">
        <f t="shared" si="236"/>
        <v>5924.86</v>
      </c>
      <c r="Q100" s="168">
        <f t="shared" si="237"/>
        <v>47.857104</v>
      </c>
      <c r="R100" s="169">
        <f t="shared" si="238"/>
        <v>5877.0084800000004</v>
      </c>
      <c r="S100" s="169">
        <f t="shared" si="239"/>
        <v>5924.86</v>
      </c>
      <c r="T100" s="161">
        <f t="shared" si="214"/>
        <v>2.4712417719416555E-3</v>
      </c>
    </row>
    <row r="101" spans="2:20" ht="30" customHeight="1" x14ac:dyDescent="0.25">
      <c r="B101" s="162" t="s">
        <v>923</v>
      </c>
      <c r="C101" s="160" t="s">
        <v>947</v>
      </c>
      <c r="D101" s="171" t="s">
        <v>125</v>
      </c>
      <c r="E101" s="163" t="s">
        <v>948</v>
      </c>
      <c r="F101" s="160" t="s">
        <v>22</v>
      </c>
      <c r="G101" s="164">
        <v>27</v>
      </c>
      <c r="H101" s="165">
        <v>2.0699999999999998</v>
      </c>
      <c r="I101" s="166">
        <v>151.47</v>
      </c>
      <c r="J101" s="167">
        <f t="shared" si="232"/>
        <v>153.54</v>
      </c>
      <c r="K101" s="168">
        <f t="shared" si="241"/>
        <v>55.889999999999993</v>
      </c>
      <c r="L101" s="169">
        <f t="shared" si="242"/>
        <v>4089.69</v>
      </c>
      <c r="M101" s="170">
        <f t="shared" si="243"/>
        <v>4145.58</v>
      </c>
      <c r="N101" s="165">
        <f t="shared" si="185"/>
        <v>2.524572</v>
      </c>
      <c r="O101" s="166">
        <f t="shared" si="186"/>
        <v>184.732812</v>
      </c>
      <c r="P101" s="167">
        <f t="shared" si="236"/>
        <v>187.25</v>
      </c>
      <c r="Q101" s="168">
        <f t="shared" si="237"/>
        <v>68.163443999999998</v>
      </c>
      <c r="R101" s="169">
        <f t="shared" si="238"/>
        <v>4987.7859239999998</v>
      </c>
      <c r="S101" s="169">
        <f t="shared" si="239"/>
        <v>5055.9399999999996</v>
      </c>
      <c r="T101" s="161">
        <f t="shared" si="214"/>
        <v>2.1088177820962344E-3</v>
      </c>
    </row>
    <row r="102" spans="2:20" ht="30" customHeight="1" x14ac:dyDescent="0.25">
      <c r="B102" s="162" t="s">
        <v>924</v>
      </c>
      <c r="C102" s="160" t="s">
        <v>949</v>
      </c>
      <c r="D102" s="171" t="s">
        <v>905</v>
      </c>
      <c r="E102" s="163" t="s">
        <v>950</v>
      </c>
      <c r="F102" s="160" t="s">
        <v>847</v>
      </c>
      <c r="G102" s="164">
        <v>92</v>
      </c>
      <c r="H102" s="165">
        <v>30.82</v>
      </c>
      <c r="I102" s="166">
        <v>117.03</v>
      </c>
      <c r="J102" s="167">
        <f t="shared" si="232"/>
        <v>147.85</v>
      </c>
      <c r="K102" s="168">
        <f t="shared" si="241"/>
        <v>2835.44</v>
      </c>
      <c r="L102" s="169">
        <f t="shared" si="242"/>
        <v>10766.76</v>
      </c>
      <c r="M102" s="170">
        <f t="shared" si="243"/>
        <v>13602.2</v>
      </c>
      <c r="N102" s="165">
        <f t="shared" si="185"/>
        <v>37.588072000000004</v>
      </c>
      <c r="O102" s="166">
        <f t="shared" si="186"/>
        <v>142.72978800000001</v>
      </c>
      <c r="P102" s="167">
        <f t="shared" si="236"/>
        <v>180.31</v>
      </c>
      <c r="Q102" s="168">
        <f t="shared" si="237"/>
        <v>3458.1026240000006</v>
      </c>
      <c r="R102" s="169">
        <f t="shared" si="238"/>
        <v>13131.140496000002</v>
      </c>
      <c r="S102" s="169">
        <f t="shared" si="239"/>
        <v>16589.240000000002</v>
      </c>
      <c r="T102" s="161">
        <f t="shared" si="214"/>
        <v>6.919323469713275E-3</v>
      </c>
    </row>
    <row r="103" spans="2:20" ht="39.950000000000003" customHeight="1" x14ac:dyDescent="0.25">
      <c r="B103" s="162"/>
      <c r="C103" s="160"/>
      <c r="D103" s="171"/>
      <c r="E103" s="163"/>
      <c r="F103" s="160"/>
      <c r="G103" s="164"/>
      <c r="H103" s="165"/>
      <c r="I103" s="166"/>
      <c r="J103" s="167">
        <f t="shared" ref="J103" si="244">TRUNC(SUM(H103:I103),2)</f>
        <v>0</v>
      </c>
      <c r="K103" s="168">
        <f t="shared" ref="K103" si="245">+H103*G103</f>
        <v>0</v>
      </c>
      <c r="L103" s="169">
        <f t="shared" ref="L103" si="246">+I103*G103</f>
        <v>0</v>
      </c>
      <c r="M103" s="170">
        <f t="shared" ref="M103" si="247">TRUNC(SUM(K103:L103),2)</f>
        <v>0</v>
      </c>
      <c r="N103" s="165">
        <f t="shared" si="185"/>
        <v>0</v>
      </c>
      <c r="O103" s="166">
        <f t="shared" si="186"/>
        <v>0</v>
      </c>
      <c r="P103" s="167">
        <f t="shared" ref="P103" si="248">TRUNC(SUM(N103:O103),2)</f>
        <v>0</v>
      </c>
      <c r="Q103" s="168">
        <f t="shared" ref="Q103" si="249">+N103*G103</f>
        <v>0</v>
      </c>
      <c r="R103" s="169">
        <f t="shared" ref="R103" si="250">+O103*G103</f>
        <v>0</v>
      </c>
      <c r="S103" s="169">
        <f t="shared" ref="S103" si="251">TRUNC(SUM(Q103:R103),2)</f>
        <v>0</v>
      </c>
      <c r="T103" s="161">
        <f t="shared" si="214"/>
        <v>0</v>
      </c>
    </row>
    <row r="104" spans="2:20" ht="30" customHeight="1" x14ac:dyDescent="0.25">
      <c r="B104" s="327">
        <v>9</v>
      </c>
      <c r="C104" s="328"/>
      <c r="D104" s="328"/>
      <c r="E104" s="329" t="s">
        <v>1180</v>
      </c>
      <c r="F104" s="330"/>
      <c r="G104" s="331"/>
      <c r="H104" s="332"/>
      <c r="I104" s="330"/>
      <c r="J104" s="333">
        <f t="shared" si="118"/>
        <v>0</v>
      </c>
      <c r="K104" s="391">
        <f>SUM(K105:K107)</f>
        <v>63785.98</v>
      </c>
      <c r="L104" s="391">
        <f>SUM(L105:L107)</f>
        <v>55990.39</v>
      </c>
      <c r="M104" s="391">
        <f>SUM(M105:M107)</f>
        <v>119776.37</v>
      </c>
      <c r="N104" s="396">
        <f t="shared" si="185"/>
        <v>0</v>
      </c>
      <c r="O104" s="350">
        <f t="shared" si="186"/>
        <v>0</v>
      </c>
      <c r="P104" s="351">
        <f t="shared" si="120"/>
        <v>0</v>
      </c>
      <c r="Q104" s="391">
        <f>SUM(Q105:Q107)</f>
        <v>77793.381208000006</v>
      </c>
      <c r="R104" s="391">
        <f>SUM(R105:R107)</f>
        <v>68285.879644000001</v>
      </c>
      <c r="S104" s="391">
        <f>SUM(S105:S107)</f>
        <v>146079.25</v>
      </c>
      <c r="T104" s="334">
        <f t="shared" si="214"/>
        <v>6.0929227798447241E-2</v>
      </c>
    </row>
    <row r="105" spans="2:20" ht="30" customHeight="1" x14ac:dyDescent="0.25">
      <c r="B105" s="162" t="s">
        <v>1455</v>
      </c>
      <c r="C105" s="160" t="s">
        <v>1390</v>
      </c>
      <c r="D105" s="171" t="s">
        <v>125</v>
      </c>
      <c r="E105" s="163" t="s">
        <v>304</v>
      </c>
      <c r="F105" s="160" t="s">
        <v>35</v>
      </c>
      <c r="G105" s="437">
        <v>2211</v>
      </c>
      <c r="H105" s="165">
        <v>26.53</v>
      </c>
      <c r="I105" s="166">
        <v>22.71</v>
      </c>
      <c r="J105" s="167">
        <f t="shared" ref="J105:J108" si="252">TRUNC(SUM(H105:I105),2)</f>
        <v>49.24</v>
      </c>
      <c r="K105" s="168">
        <f t="shared" ref="K105:K108" si="253">+H105*G105</f>
        <v>58657.83</v>
      </c>
      <c r="L105" s="169">
        <f t="shared" ref="L105:L108" si="254">+I105*G105</f>
        <v>50211.810000000005</v>
      </c>
      <c r="M105" s="438">
        <f t="shared" ref="M105:M108" si="255">TRUNC(SUM(K105:L105),2)</f>
        <v>108869.64</v>
      </c>
      <c r="N105" s="165">
        <f t="shared" ref="N105:N108" si="256">+H105*(1+$T$10)</f>
        <v>32.355988000000004</v>
      </c>
      <c r="O105" s="166">
        <f t="shared" ref="O105:O108" si="257">+I105*(1+$T$10)</f>
        <v>27.697116000000001</v>
      </c>
      <c r="P105" s="167">
        <f t="shared" ref="P105:P108" si="258">TRUNC(SUM(N105:O105),2)</f>
        <v>60.05</v>
      </c>
      <c r="Q105" s="168">
        <f t="shared" ref="Q105:Q108" si="259">+N105*G105</f>
        <v>71539.089468000006</v>
      </c>
      <c r="R105" s="169">
        <f t="shared" ref="R105:R108" si="260">+O105*G105</f>
        <v>61238.323476000005</v>
      </c>
      <c r="S105" s="169">
        <f t="shared" ref="S105:S108" si="261">TRUNC(SUM(Q105:R105),2)</f>
        <v>132777.41</v>
      </c>
      <c r="T105" s="439">
        <f t="shared" si="214"/>
        <v>5.5381069250956767E-2</v>
      </c>
    </row>
    <row r="106" spans="2:20" ht="30" customHeight="1" x14ac:dyDescent="0.25">
      <c r="B106" s="162" t="s">
        <v>1456</v>
      </c>
      <c r="C106" s="160">
        <v>9526</v>
      </c>
      <c r="D106" s="171" t="s">
        <v>177</v>
      </c>
      <c r="E106" s="163" t="s">
        <v>952</v>
      </c>
      <c r="F106" s="160" t="s">
        <v>227</v>
      </c>
      <c r="G106" s="164">
        <v>911</v>
      </c>
      <c r="H106" s="165">
        <v>5.6</v>
      </c>
      <c r="I106" s="166">
        <v>6.32</v>
      </c>
      <c r="J106" s="167">
        <f t="shared" si="252"/>
        <v>11.92</v>
      </c>
      <c r="K106" s="168">
        <f t="shared" si="253"/>
        <v>5101.5999999999995</v>
      </c>
      <c r="L106" s="169">
        <f t="shared" si="254"/>
        <v>5757.52</v>
      </c>
      <c r="M106" s="170">
        <f t="shared" si="255"/>
        <v>10859.12</v>
      </c>
      <c r="N106" s="165">
        <f t="shared" si="256"/>
        <v>6.8297599999999994</v>
      </c>
      <c r="O106" s="166">
        <f t="shared" si="257"/>
        <v>7.7078720000000001</v>
      </c>
      <c r="P106" s="167">
        <f t="shared" si="258"/>
        <v>14.53</v>
      </c>
      <c r="Q106" s="168">
        <f t="shared" si="259"/>
        <v>6221.9113599999991</v>
      </c>
      <c r="R106" s="169">
        <f t="shared" si="260"/>
        <v>7021.871392</v>
      </c>
      <c r="S106" s="169">
        <f t="shared" si="261"/>
        <v>13243.78</v>
      </c>
      <c r="T106" s="161">
        <f t="shared" si="214"/>
        <v>5.523941891353629E-3</v>
      </c>
    </row>
    <row r="107" spans="2:20" ht="30" customHeight="1" x14ac:dyDescent="0.25">
      <c r="B107" s="162" t="s">
        <v>1457</v>
      </c>
      <c r="C107" s="160" t="s">
        <v>766</v>
      </c>
      <c r="D107" s="171" t="s">
        <v>125</v>
      </c>
      <c r="E107" s="163" t="s">
        <v>455</v>
      </c>
      <c r="F107" s="160" t="s">
        <v>22</v>
      </c>
      <c r="G107" s="437">
        <v>9</v>
      </c>
      <c r="H107" s="165">
        <v>2.95</v>
      </c>
      <c r="I107" s="166">
        <v>2.34</v>
      </c>
      <c r="J107" s="167">
        <f t="shared" si="252"/>
        <v>5.29</v>
      </c>
      <c r="K107" s="168">
        <f t="shared" si="253"/>
        <v>26.55</v>
      </c>
      <c r="L107" s="169">
        <f t="shared" si="254"/>
        <v>21.06</v>
      </c>
      <c r="M107" s="438">
        <f t="shared" si="255"/>
        <v>47.61</v>
      </c>
      <c r="N107" s="165">
        <f t="shared" si="256"/>
        <v>3.5978200000000005</v>
      </c>
      <c r="O107" s="166">
        <f t="shared" si="257"/>
        <v>2.8538639999999997</v>
      </c>
      <c r="P107" s="167">
        <f t="shared" si="258"/>
        <v>6.45</v>
      </c>
      <c r="Q107" s="168">
        <f t="shared" si="259"/>
        <v>32.380380000000002</v>
      </c>
      <c r="R107" s="169">
        <f t="shared" si="260"/>
        <v>25.684775999999999</v>
      </c>
      <c r="S107" s="169">
        <f t="shared" si="261"/>
        <v>58.06</v>
      </c>
      <c r="T107" s="439">
        <f t="shared" si="214"/>
        <v>2.421665613684248E-5</v>
      </c>
    </row>
    <row r="108" spans="2:20" ht="30" customHeight="1" x14ac:dyDescent="0.25">
      <c r="B108" s="162"/>
      <c r="C108" s="160"/>
      <c r="D108" s="171"/>
      <c r="E108" s="163"/>
      <c r="F108" s="160"/>
      <c r="G108" s="164"/>
      <c r="H108" s="165"/>
      <c r="I108" s="166"/>
      <c r="J108" s="167">
        <f t="shared" si="252"/>
        <v>0</v>
      </c>
      <c r="K108" s="168">
        <f t="shared" si="253"/>
        <v>0</v>
      </c>
      <c r="L108" s="169">
        <f t="shared" si="254"/>
        <v>0</v>
      </c>
      <c r="M108" s="170">
        <f t="shared" si="255"/>
        <v>0</v>
      </c>
      <c r="N108" s="165">
        <f t="shared" si="256"/>
        <v>0</v>
      </c>
      <c r="O108" s="166">
        <f t="shared" si="257"/>
        <v>0</v>
      </c>
      <c r="P108" s="167">
        <f t="shared" si="258"/>
        <v>0</v>
      </c>
      <c r="Q108" s="168">
        <f t="shared" si="259"/>
        <v>0</v>
      </c>
      <c r="R108" s="169">
        <f t="shared" si="260"/>
        <v>0</v>
      </c>
      <c r="S108" s="169">
        <f t="shared" si="261"/>
        <v>0</v>
      </c>
      <c r="T108" s="161">
        <f t="shared" si="214"/>
        <v>0</v>
      </c>
    </row>
    <row r="109" spans="2:20" ht="24.95" customHeight="1" x14ac:dyDescent="0.25">
      <c r="B109" s="327">
        <v>10</v>
      </c>
      <c r="C109" s="328"/>
      <c r="D109" s="328"/>
      <c r="E109" s="329" t="s">
        <v>953</v>
      </c>
      <c r="F109" s="330"/>
      <c r="G109" s="331"/>
      <c r="H109" s="332"/>
      <c r="I109" s="330"/>
      <c r="J109" s="333"/>
      <c r="K109" s="391">
        <f>SUM(K110:K119)</f>
        <v>47455.861999999994</v>
      </c>
      <c r="L109" s="391">
        <f t="shared" ref="L109:M109" si="262">SUM(L110:L119)</f>
        <v>134905.46399999998</v>
      </c>
      <c r="M109" s="391">
        <f t="shared" si="262"/>
        <v>182361.31</v>
      </c>
      <c r="N109" s="397">
        <f t="shared" si="185"/>
        <v>0</v>
      </c>
      <c r="O109" s="398">
        <f t="shared" si="186"/>
        <v>0</v>
      </c>
      <c r="P109" s="399"/>
      <c r="Q109" s="391">
        <f>SUM(Q110:Q119)</f>
        <v>57877.169295200001</v>
      </c>
      <c r="R109" s="391">
        <f t="shared" ref="R109" si="263">SUM(R110:R119)</f>
        <v>164530.70389439998</v>
      </c>
      <c r="S109" s="391">
        <f>SUM(S110:S119)</f>
        <v>222407.81</v>
      </c>
      <c r="T109" s="334">
        <f t="shared" si="214"/>
        <v>9.276564686390279E-2</v>
      </c>
    </row>
    <row r="110" spans="2:20" ht="39.950000000000003" customHeight="1" x14ac:dyDescent="0.25">
      <c r="B110" s="162" t="s">
        <v>954</v>
      </c>
      <c r="C110" s="160">
        <v>91864</v>
      </c>
      <c r="D110" s="171" t="s">
        <v>31</v>
      </c>
      <c r="E110" s="163" t="s">
        <v>1403</v>
      </c>
      <c r="F110" s="160" t="s">
        <v>35</v>
      </c>
      <c r="G110" s="164">
        <v>1000</v>
      </c>
      <c r="H110" s="165">
        <v>4.3899999999999997</v>
      </c>
      <c r="I110" s="166">
        <v>8.82</v>
      </c>
      <c r="J110" s="167">
        <f t="shared" ref="J110:J121" si="264">TRUNC(SUM(H110:I110),2)</f>
        <v>13.21</v>
      </c>
      <c r="K110" s="168">
        <f>+H110*G110</f>
        <v>4390</v>
      </c>
      <c r="L110" s="169">
        <f>+I110*G110</f>
        <v>8820</v>
      </c>
      <c r="M110" s="170">
        <f t="shared" ref="M110" si="265">TRUNC(SUM(K110:L110),2)</f>
        <v>13210</v>
      </c>
      <c r="N110" s="165">
        <f t="shared" si="185"/>
        <v>5.354044</v>
      </c>
      <c r="O110" s="166">
        <f t="shared" si="186"/>
        <v>10.756872000000001</v>
      </c>
      <c r="P110" s="167">
        <f t="shared" ref="P110:P121" si="266">TRUNC(SUM(N110:O110),2)</f>
        <v>16.11</v>
      </c>
      <c r="Q110" s="168">
        <f t="shared" ref="Q110" si="267">+N110*G110</f>
        <v>5354.0439999999999</v>
      </c>
      <c r="R110" s="169">
        <f t="shared" ref="R110" si="268">+O110*G110</f>
        <v>10756.872000000001</v>
      </c>
      <c r="S110" s="169">
        <f t="shared" ref="S110" si="269">TRUNC(SUM(Q110:R110),2)</f>
        <v>16110.91</v>
      </c>
      <c r="T110" s="161">
        <f t="shared" si="214"/>
        <v>6.7198134261387682E-3</v>
      </c>
    </row>
    <row r="111" spans="2:20" ht="36.6" customHeight="1" x14ac:dyDescent="0.25">
      <c r="B111" s="162" t="s">
        <v>955</v>
      </c>
      <c r="C111" s="160">
        <v>91863</v>
      </c>
      <c r="D111" s="171" t="s">
        <v>31</v>
      </c>
      <c r="E111" s="163" t="s">
        <v>1405</v>
      </c>
      <c r="F111" s="160" t="s">
        <v>35</v>
      </c>
      <c r="G111" s="164">
        <v>5535</v>
      </c>
      <c r="H111" s="165">
        <v>3.68</v>
      </c>
      <c r="I111" s="166">
        <v>6.27</v>
      </c>
      <c r="J111" s="167">
        <f t="shared" ref="J111:J117" si="270">TRUNC(SUM(H111:I111),2)</f>
        <v>9.9499999999999993</v>
      </c>
      <c r="K111" s="168">
        <f t="shared" ref="K111:K117" si="271">+H111*G111</f>
        <v>20368.8</v>
      </c>
      <c r="L111" s="169">
        <f t="shared" ref="L111:L117" si="272">+I111*G111</f>
        <v>34704.449999999997</v>
      </c>
      <c r="M111" s="170">
        <f t="shared" ref="M111:M117" si="273">TRUNC(SUM(K111:L111),2)</f>
        <v>55073.25</v>
      </c>
      <c r="N111" s="165">
        <f t="shared" ref="N111:N117" si="274">+H111*(1+$T$10)</f>
        <v>4.4881280000000006</v>
      </c>
      <c r="O111" s="166">
        <f t="shared" ref="O111:O117" si="275">+I111*(1+$T$10)</f>
        <v>7.6468919999999994</v>
      </c>
      <c r="P111" s="167">
        <f t="shared" ref="P111:P117" si="276">TRUNC(SUM(N111:O111),2)</f>
        <v>12.13</v>
      </c>
      <c r="Q111" s="168">
        <f t="shared" ref="Q111:Q117" si="277">+N111*G111</f>
        <v>24841.788480000003</v>
      </c>
      <c r="R111" s="169">
        <f t="shared" ref="R111:R117" si="278">+O111*G111</f>
        <v>42325.547219999993</v>
      </c>
      <c r="S111" s="169">
        <f t="shared" ref="S111:S117" si="279">TRUNC(SUM(Q111:R111),2)</f>
        <v>67167.33</v>
      </c>
      <c r="T111" s="161">
        <f t="shared" si="214"/>
        <v>2.8015296834995245E-2</v>
      </c>
    </row>
    <row r="112" spans="2:20" ht="45" customHeight="1" x14ac:dyDescent="0.25">
      <c r="B112" s="162" t="s">
        <v>956</v>
      </c>
      <c r="C112" s="160">
        <v>93008</v>
      </c>
      <c r="D112" s="171" t="s">
        <v>31</v>
      </c>
      <c r="E112" s="163" t="s">
        <v>1407</v>
      </c>
      <c r="F112" s="160" t="s">
        <v>35</v>
      </c>
      <c r="G112" s="164">
        <v>6</v>
      </c>
      <c r="H112" s="165">
        <v>3.32</v>
      </c>
      <c r="I112" s="166">
        <v>11.3</v>
      </c>
      <c r="J112" s="167">
        <f t="shared" si="270"/>
        <v>14.62</v>
      </c>
      <c r="K112" s="168">
        <f t="shared" si="271"/>
        <v>19.919999999999998</v>
      </c>
      <c r="L112" s="169">
        <f t="shared" si="272"/>
        <v>67.800000000000011</v>
      </c>
      <c r="M112" s="170">
        <f t="shared" si="273"/>
        <v>87.72</v>
      </c>
      <c r="N112" s="165">
        <f t="shared" si="274"/>
        <v>4.0490719999999998</v>
      </c>
      <c r="O112" s="166">
        <f t="shared" si="275"/>
        <v>13.781480000000002</v>
      </c>
      <c r="P112" s="167">
        <f t="shared" si="276"/>
        <v>17.829999999999998</v>
      </c>
      <c r="Q112" s="168">
        <f t="shared" si="277"/>
        <v>24.294432</v>
      </c>
      <c r="R112" s="169">
        <f t="shared" si="278"/>
        <v>82.688880000000012</v>
      </c>
      <c r="S112" s="169">
        <f t="shared" si="279"/>
        <v>106.98</v>
      </c>
      <c r="T112" s="161">
        <f t="shared" si="214"/>
        <v>4.4621045014113136E-5</v>
      </c>
    </row>
    <row r="113" spans="2:20" ht="46.35" customHeight="1" x14ac:dyDescent="0.25">
      <c r="B113" s="162" t="s">
        <v>957</v>
      </c>
      <c r="C113" s="160">
        <v>93009</v>
      </c>
      <c r="D113" s="171" t="s">
        <v>31</v>
      </c>
      <c r="E113" s="163" t="s">
        <v>1409</v>
      </c>
      <c r="F113" s="160" t="s">
        <v>35</v>
      </c>
      <c r="G113" s="164">
        <v>14.8</v>
      </c>
      <c r="H113" s="165">
        <v>3.81</v>
      </c>
      <c r="I113" s="166">
        <v>17.850000000000001</v>
      </c>
      <c r="J113" s="167">
        <f t="shared" si="270"/>
        <v>21.66</v>
      </c>
      <c r="K113" s="168">
        <f t="shared" si="271"/>
        <v>56.388000000000005</v>
      </c>
      <c r="L113" s="169">
        <f t="shared" si="272"/>
        <v>264.18</v>
      </c>
      <c r="M113" s="170">
        <f t="shared" si="273"/>
        <v>320.56</v>
      </c>
      <c r="N113" s="165">
        <f t="shared" si="274"/>
        <v>4.6466760000000003</v>
      </c>
      <c r="O113" s="166">
        <f t="shared" si="275"/>
        <v>21.769860000000001</v>
      </c>
      <c r="P113" s="167">
        <f t="shared" si="276"/>
        <v>26.41</v>
      </c>
      <c r="Q113" s="168">
        <f t="shared" si="277"/>
        <v>68.770804800000008</v>
      </c>
      <c r="R113" s="169">
        <f t="shared" si="278"/>
        <v>322.19392800000003</v>
      </c>
      <c r="S113" s="169">
        <f t="shared" si="279"/>
        <v>390.96</v>
      </c>
      <c r="T113" s="161">
        <f t="shared" si="214"/>
        <v>1.6306827218842465E-4</v>
      </c>
    </row>
    <row r="114" spans="2:20" ht="39.6" customHeight="1" x14ac:dyDescent="0.25">
      <c r="B114" s="162" t="s">
        <v>958</v>
      </c>
      <c r="C114" s="160">
        <v>93012</v>
      </c>
      <c r="D114" s="171" t="s">
        <v>31</v>
      </c>
      <c r="E114" s="163" t="s">
        <v>1411</v>
      </c>
      <c r="F114" s="160" t="s">
        <v>35</v>
      </c>
      <c r="G114" s="164">
        <v>63.6</v>
      </c>
      <c r="H114" s="165">
        <v>6.31</v>
      </c>
      <c r="I114" s="166">
        <v>49.64</v>
      </c>
      <c r="J114" s="167">
        <f t="shared" si="270"/>
        <v>55.95</v>
      </c>
      <c r="K114" s="168">
        <f t="shared" si="271"/>
        <v>401.31599999999997</v>
      </c>
      <c r="L114" s="169">
        <f t="shared" si="272"/>
        <v>3157.1040000000003</v>
      </c>
      <c r="M114" s="170">
        <f t="shared" si="273"/>
        <v>3558.42</v>
      </c>
      <c r="N114" s="165">
        <f t="shared" si="274"/>
        <v>7.6956759999999997</v>
      </c>
      <c r="O114" s="166">
        <f t="shared" si="275"/>
        <v>60.540944000000003</v>
      </c>
      <c r="P114" s="167">
        <f t="shared" si="276"/>
        <v>68.23</v>
      </c>
      <c r="Q114" s="168">
        <f t="shared" si="277"/>
        <v>489.44499359999998</v>
      </c>
      <c r="R114" s="169">
        <f t="shared" si="278"/>
        <v>3850.4040384000004</v>
      </c>
      <c r="S114" s="169">
        <f t="shared" si="279"/>
        <v>4339.84</v>
      </c>
      <c r="T114" s="161">
        <f t="shared" si="214"/>
        <v>1.8101345671531943E-3</v>
      </c>
    </row>
    <row r="115" spans="2:20" ht="24.95" customHeight="1" x14ac:dyDescent="0.25">
      <c r="B115" s="162" t="s">
        <v>1439</v>
      </c>
      <c r="C115" s="160">
        <v>11819</v>
      </c>
      <c r="D115" s="171" t="s">
        <v>177</v>
      </c>
      <c r="E115" s="163" t="s">
        <v>963</v>
      </c>
      <c r="F115" s="160" t="s">
        <v>227</v>
      </c>
      <c r="G115" s="164">
        <v>1</v>
      </c>
      <c r="H115" s="165">
        <v>2.79</v>
      </c>
      <c r="I115" s="166">
        <v>3.65</v>
      </c>
      <c r="J115" s="167">
        <f t="shared" si="270"/>
        <v>6.44</v>
      </c>
      <c r="K115" s="168">
        <f t="shared" si="271"/>
        <v>2.79</v>
      </c>
      <c r="L115" s="169">
        <f t="shared" si="272"/>
        <v>3.65</v>
      </c>
      <c r="M115" s="170">
        <f t="shared" si="273"/>
        <v>6.44</v>
      </c>
      <c r="N115" s="165">
        <f t="shared" si="274"/>
        <v>3.4026840000000003</v>
      </c>
      <c r="O115" s="166">
        <f t="shared" si="275"/>
        <v>4.4515399999999996</v>
      </c>
      <c r="P115" s="167">
        <f t="shared" si="276"/>
        <v>7.85</v>
      </c>
      <c r="Q115" s="168">
        <f t="shared" si="277"/>
        <v>3.4026840000000003</v>
      </c>
      <c r="R115" s="169">
        <f t="shared" si="278"/>
        <v>4.4515399999999996</v>
      </c>
      <c r="S115" s="169">
        <f t="shared" si="279"/>
        <v>7.85</v>
      </c>
      <c r="T115" s="161">
        <f t="shared" si="214"/>
        <v>3.2742120336585163E-6</v>
      </c>
    </row>
    <row r="116" spans="2:20" ht="24.95" customHeight="1" x14ac:dyDescent="0.25">
      <c r="B116" s="162" t="s">
        <v>1440</v>
      </c>
      <c r="C116" s="160">
        <v>68207</v>
      </c>
      <c r="D116" s="171" t="s">
        <v>214</v>
      </c>
      <c r="E116" s="163" t="s">
        <v>751</v>
      </c>
      <c r="F116" s="160" t="s">
        <v>35</v>
      </c>
      <c r="G116" s="164">
        <v>0.3</v>
      </c>
      <c r="H116" s="165">
        <v>18.260000000000002</v>
      </c>
      <c r="I116" s="166">
        <v>91.5</v>
      </c>
      <c r="J116" s="167">
        <f t="shared" si="270"/>
        <v>109.76</v>
      </c>
      <c r="K116" s="168">
        <f t="shared" si="271"/>
        <v>5.4780000000000006</v>
      </c>
      <c r="L116" s="169">
        <f t="shared" si="272"/>
        <v>27.45</v>
      </c>
      <c r="M116" s="170">
        <f t="shared" si="273"/>
        <v>32.92</v>
      </c>
      <c r="N116" s="165">
        <f t="shared" si="274"/>
        <v>22.269896000000003</v>
      </c>
      <c r="O116" s="166">
        <f t="shared" si="275"/>
        <v>111.5934</v>
      </c>
      <c r="P116" s="167">
        <f t="shared" si="276"/>
        <v>133.86000000000001</v>
      </c>
      <c r="Q116" s="168">
        <f t="shared" si="277"/>
        <v>6.6809688000000005</v>
      </c>
      <c r="R116" s="169">
        <f t="shared" si="278"/>
        <v>33.478020000000001</v>
      </c>
      <c r="S116" s="169">
        <f t="shared" si="279"/>
        <v>40.15</v>
      </c>
      <c r="T116" s="161">
        <f t="shared" si="214"/>
        <v>1.6746447535208845E-5</v>
      </c>
    </row>
    <row r="117" spans="2:20" ht="24.95" customHeight="1" x14ac:dyDescent="0.25">
      <c r="B117" s="162" t="s">
        <v>959</v>
      </c>
      <c r="C117" s="160">
        <v>60140</v>
      </c>
      <c r="D117" s="171" t="s">
        <v>214</v>
      </c>
      <c r="E117" s="163" t="s">
        <v>1392</v>
      </c>
      <c r="F117" s="160" t="s">
        <v>22</v>
      </c>
      <c r="G117" s="164">
        <v>111</v>
      </c>
      <c r="H117" s="165">
        <v>1.27</v>
      </c>
      <c r="I117" s="166">
        <v>38.47</v>
      </c>
      <c r="J117" s="167">
        <f t="shared" si="270"/>
        <v>39.74</v>
      </c>
      <c r="K117" s="168">
        <f t="shared" si="271"/>
        <v>140.97</v>
      </c>
      <c r="L117" s="169">
        <f t="shared" si="272"/>
        <v>4270.17</v>
      </c>
      <c r="M117" s="170">
        <f t="shared" si="273"/>
        <v>4411.1400000000003</v>
      </c>
      <c r="N117" s="165">
        <f t="shared" si="274"/>
        <v>1.5488919999999999</v>
      </c>
      <c r="O117" s="166">
        <f t="shared" si="275"/>
        <v>46.918011999999997</v>
      </c>
      <c r="P117" s="167">
        <f t="shared" si="276"/>
        <v>48.46</v>
      </c>
      <c r="Q117" s="168">
        <f t="shared" si="277"/>
        <v>171.92701199999999</v>
      </c>
      <c r="R117" s="169">
        <f t="shared" si="278"/>
        <v>5207.899332</v>
      </c>
      <c r="S117" s="169">
        <f t="shared" si="279"/>
        <v>5379.82</v>
      </c>
      <c r="T117" s="161">
        <f t="shared" si="214"/>
        <v>2.2439071825371667E-3</v>
      </c>
    </row>
    <row r="118" spans="2:20" ht="28.7" customHeight="1" x14ac:dyDescent="0.25">
      <c r="B118" s="162" t="s">
        <v>960</v>
      </c>
      <c r="C118" s="160">
        <v>90953</v>
      </c>
      <c r="D118" s="171" t="s">
        <v>1375</v>
      </c>
      <c r="E118" s="163" t="s">
        <v>1415</v>
      </c>
      <c r="F118" s="160" t="s">
        <v>22</v>
      </c>
      <c r="G118" s="164">
        <v>244</v>
      </c>
      <c r="H118" s="165">
        <v>64.8</v>
      </c>
      <c r="I118" s="166">
        <v>219.69</v>
      </c>
      <c r="J118" s="167">
        <f t="shared" ref="J118:J119" si="280">TRUNC(SUM(H118:I118),2)</f>
        <v>284.49</v>
      </c>
      <c r="K118" s="168">
        <f t="shared" ref="K118:K119" si="281">+H118*G118</f>
        <v>15811.199999999999</v>
      </c>
      <c r="L118" s="169">
        <f t="shared" ref="L118:L119" si="282">+I118*G118</f>
        <v>53604.36</v>
      </c>
      <c r="M118" s="170">
        <f t="shared" ref="M118:M119" si="283">TRUNC(SUM(K118:L118),2)</f>
        <v>69415.56</v>
      </c>
      <c r="N118" s="165">
        <f t="shared" ref="N118:N119" si="284">+H118*(1+$T$10)</f>
        <v>79.030079999999998</v>
      </c>
      <c r="O118" s="166">
        <f t="shared" ref="O118:O119" si="285">+I118*(1+$T$10)</f>
        <v>267.93392399999999</v>
      </c>
      <c r="P118" s="167">
        <f t="shared" ref="P118:P119" si="286">TRUNC(SUM(N118:O118),2)</f>
        <v>346.96</v>
      </c>
      <c r="Q118" s="168">
        <f t="shared" ref="Q118:Q119" si="287">+N118*G118</f>
        <v>19283.339520000001</v>
      </c>
      <c r="R118" s="169">
        <f t="shared" ref="R118:R119" si="288">+O118*G118</f>
        <v>65375.877455999995</v>
      </c>
      <c r="S118" s="169">
        <f t="shared" ref="S118:S119" si="289">TRUNC(SUM(Q118:R118),2)</f>
        <v>84659.21</v>
      </c>
      <c r="T118" s="161">
        <f t="shared" si="214"/>
        <v>3.5311108807901073E-2</v>
      </c>
    </row>
    <row r="119" spans="2:20" ht="36" customHeight="1" x14ac:dyDescent="0.25">
      <c r="B119" s="162" t="s">
        <v>961</v>
      </c>
      <c r="C119" s="160">
        <v>100903</v>
      </c>
      <c r="D119" s="171" t="s">
        <v>31</v>
      </c>
      <c r="E119" s="163" t="s">
        <v>1417</v>
      </c>
      <c r="F119" s="160" t="s">
        <v>22</v>
      </c>
      <c r="G119" s="164">
        <v>1138</v>
      </c>
      <c r="H119" s="165">
        <v>5.5</v>
      </c>
      <c r="I119" s="166">
        <v>26.35</v>
      </c>
      <c r="J119" s="167">
        <f t="shared" si="280"/>
        <v>31.85</v>
      </c>
      <c r="K119" s="168">
        <f t="shared" si="281"/>
        <v>6259</v>
      </c>
      <c r="L119" s="169">
        <f t="shared" si="282"/>
        <v>29986.300000000003</v>
      </c>
      <c r="M119" s="170">
        <f t="shared" si="283"/>
        <v>36245.300000000003</v>
      </c>
      <c r="N119" s="165">
        <f t="shared" si="284"/>
        <v>6.7077999999999998</v>
      </c>
      <c r="O119" s="166">
        <f t="shared" si="285"/>
        <v>32.13646</v>
      </c>
      <c r="P119" s="167">
        <f t="shared" si="286"/>
        <v>38.840000000000003</v>
      </c>
      <c r="Q119" s="168">
        <f t="shared" si="287"/>
        <v>7633.4763999999996</v>
      </c>
      <c r="R119" s="169">
        <f t="shared" si="288"/>
        <v>36571.29148</v>
      </c>
      <c r="S119" s="169">
        <f t="shared" si="289"/>
        <v>44204.76</v>
      </c>
      <c r="T119" s="161">
        <f t="shared" si="214"/>
        <v>1.8437676068405941E-2</v>
      </c>
    </row>
    <row r="120" spans="2:20" ht="24.95" customHeight="1" x14ac:dyDescent="0.25">
      <c r="B120" s="162"/>
      <c r="C120" s="160"/>
      <c r="D120" s="171"/>
      <c r="E120" s="163"/>
      <c r="F120" s="160"/>
      <c r="G120" s="164"/>
      <c r="H120" s="165"/>
      <c r="I120" s="166"/>
      <c r="J120" s="167"/>
      <c r="K120" s="168"/>
      <c r="L120" s="169"/>
      <c r="M120" s="170"/>
      <c r="N120" s="165"/>
      <c r="O120" s="166"/>
      <c r="P120" s="167"/>
      <c r="Q120" s="168"/>
      <c r="R120" s="169"/>
      <c r="S120" s="169"/>
      <c r="T120" s="161"/>
    </row>
    <row r="121" spans="2:20" ht="24.95" customHeight="1" x14ac:dyDescent="0.25">
      <c r="B121" s="327">
        <v>11</v>
      </c>
      <c r="C121" s="352"/>
      <c r="D121" s="352"/>
      <c r="E121" s="329" t="s">
        <v>967</v>
      </c>
      <c r="F121" s="337"/>
      <c r="G121" s="353"/>
      <c r="H121" s="336"/>
      <c r="I121" s="337"/>
      <c r="J121" s="338">
        <f t="shared" si="264"/>
        <v>0</v>
      </c>
      <c r="K121" s="391">
        <f>SUM(K122:K127)</f>
        <v>891.7700000000001</v>
      </c>
      <c r="L121" s="391">
        <f>SUM(L122:L127)</f>
        <v>41573.659999999996</v>
      </c>
      <c r="M121" s="391">
        <f>SUM(M122:M127)</f>
        <v>42465.429999999993</v>
      </c>
      <c r="N121" s="392">
        <f t="shared" si="185"/>
        <v>0</v>
      </c>
      <c r="O121" s="354">
        <f t="shared" si="186"/>
        <v>0</v>
      </c>
      <c r="P121" s="355">
        <f t="shared" si="266"/>
        <v>0</v>
      </c>
      <c r="Q121" s="391">
        <f>SUM(Q122:Q127)</f>
        <v>1087.6026920000002</v>
      </c>
      <c r="R121" s="391">
        <f>SUM(R122:R127)</f>
        <v>50703.23573600001</v>
      </c>
      <c r="S121" s="391">
        <f>SUM(S122:S127)</f>
        <v>51790.810000000005</v>
      </c>
      <c r="T121" s="334">
        <f t="shared" ref="T121:T127" si="290">+S121/$S$213</f>
        <v>2.1601795329289408E-2</v>
      </c>
    </row>
    <row r="122" spans="2:20" ht="51" customHeight="1" x14ac:dyDescent="0.25">
      <c r="B122" s="162" t="s">
        <v>966</v>
      </c>
      <c r="C122" s="160">
        <v>101879</v>
      </c>
      <c r="D122" s="171" t="s">
        <v>31</v>
      </c>
      <c r="E122" s="163" t="s">
        <v>969</v>
      </c>
      <c r="F122" s="160" t="s">
        <v>22</v>
      </c>
      <c r="G122" s="164">
        <v>18</v>
      </c>
      <c r="H122" s="165">
        <v>17.760000000000002</v>
      </c>
      <c r="I122" s="166">
        <v>641.92999999999995</v>
      </c>
      <c r="J122" s="167">
        <f>TRUNC(SUM(H122:I122),2)</f>
        <v>659.69</v>
      </c>
      <c r="K122" s="168">
        <f>+H122*G122</f>
        <v>319.68</v>
      </c>
      <c r="L122" s="169">
        <f>+I122*G122</f>
        <v>11554.74</v>
      </c>
      <c r="M122" s="170">
        <f t="shared" ref="M122" si="291">TRUNC(SUM(K122:L122),2)</f>
        <v>11874.42</v>
      </c>
      <c r="N122" s="165">
        <f t="shared" si="185"/>
        <v>21.660096000000003</v>
      </c>
      <c r="O122" s="166">
        <f t="shared" si="186"/>
        <v>782.897828</v>
      </c>
      <c r="P122" s="167">
        <f>TRUNC(SUM(N122:O122),2)</f>
        <v>804.55</v>
      </c>
      <c r="Q122" s="168">
        <f>+N122*G122</f>
        <v>389.88172800000007</v>
      </c>
      <c r="R122" s="169">
        <f>+O122*G122</f>
        <v>14092.160904</v>
      </c>
      <c r="S122" s="169">
        <f>TRUNC(SUM(Q122:R122),2)</f>
        <v>14482.04</v>
      </c>
      <c r="T122" s="161">
        <f t="shared" si="290"/>
        <v>6.040416514639998E-3</v>
      </c>
    </row>
    <row r="123" spans="2:20" ht="36.6" customHeight="1" x14ac:dyDescent="0.25">
      <c r="B123" s="162" t="s">
        <v>1458</v>
      </c>
      <c r="C123" s="160" t="s">
        <v>1280</v>
      </c>
      <c r="D123" s="171" t="s">
        <v>125</v>
      </c>
      <c r="E123" s="163" t="s">
        <v>1281</v>
      </c>
      <c r="F123" s="160" t="s">
        <v>22</v>
      </c>
      <c r="G123" s="164">
        <v>1</v>
      </c>
      <c r="H123" s="165">
        <v>279.72000000000003</v>
      </c>
      <c r="I123" s="166">
        <f>16702.58-H123</f>
        <v>16422.86</v>
      </c>
      <c r="J123" s="167">
        <f>TRUNC(SUM(H123:I123),2)</f>
        <v>16702.580000000002</v>
      </c>
      <c r="K123" s="168">
        <f>+H123*G123</f>
        <v>279.72000000000003</v>
      </c>
      <c r="L123" s="169">
        <f>+I123*G123</f>
        <v>16422.86</v>
      </c>
      <c r="M123" s="170">
        <f t="shared" ref="M123" si="292">TRUNC(SUM(K123:L123),2)</f>
        <v>16702.580000000002</v>
      </c>
      <c r="N123" s="165">
        <f t="shared" ref="N123" si="293">+H123*(1+$T$10)</f>
        <v>341.14651200000003</v>
      </c>
      <c r="O123" s="166">
        <f t="shared" ref="O123" si="294">+I123*(1+$T$10)</f>
        <v>20029.320056</v>
      </c>
      <c r="P123" s="167">
        <f>TRUNC(SUM(N123:O123),2)</f>
        <v>20370.46</v>
      </c>
      <c r="Q123" s="168">
        <f>+N123*G123</f>
        <v>341.14651200000003</v>
      </c>
      <c r="R123" s="169">
        <f>+O123*G123</f>
        <v>20029.320056</v>
      </c>
      <c r="S123" s="169">
        <f>TRUNC(SUM(Q123:R123),2)</f>
        <v>20370.46</v>
      </c>
      <c r="T123" s="161">
        <f t="shared" si="290"/>
        <v>8.4964592691922879E-3</v>
      </c>
    </row>
    <row r="124" spans="2:20" ht="52.35" customHeight="1" x14ac:dyDescent="0.25">
      <c r="B124" s="162" t="s">
        <v>1459</v>
      </c>
      <c r="C124" s="160" t="s">
        <v>1290</v>
      </c>
      <c r="D124" s="171" t="s">
        <v>125</v>
      </c>
      <c r="E124" s="163" t="s">
        <v>1356</v>
      </c>
      <c r="F124" s="160" t="s">
        <v>22</v>
      </c>
      <c r="G124" s="164">
        <v>3</v>
      </c>
      <c r="H124" s="165">
        <v>17.59</v>
      </c>
      <c r="I124" s="166">
        <v>2407.69</v>
      </c>
      <c r="J124" s="167">
        <f t="shared" ref="J124:J125" si="295">TRUNC(SUM(H124:I124),2)</f>
        <v>2425.2800000000002</v>
      </c>
      <c r="K124" s="168">
        <f t="shared" ref="K124:K125" si="296">+H124*G124</f>
        <v>52.769999999999996</v>
      </c>
      <c r="L124" s="169">
        <f t="shared" ref="L124:L125" si="297">+I124*G124</f>
        <v>7223.07</v>
      </c>
      <c r="M124" s="170">
        <f t="shared" ref="M124:M125" si="298">TRUNC(SUM(K124:L124),2)</f>
        <v>7275.84</v>
      </c>
      <c r="N124" s="165">
        <f t="shared" ref="N124:N125" si="299">+H124*(1+$T$10)</f>
        <v>21.452763999999998</v>
      </c>
      <c r="O124" s="166">
        <f t="shared" ref="O124:O125" si="300">+I124*(1+$T$10)</f>
        <v>2936.4187240000001</v>
      </c>
      <c r="P124" s="167">
        <f t="shared" ref="P124:P125" si="301">TRUNC(SUM(N124:O124),2)</f>
        <v>2957.87</v>
      </c>
      <c r="Q124" s="168">
        <f t="shared" ref="Q124:Q125" si="302">+N124*G124</f>
        <v>64.358291999999992</v>
      </c>
      <c r="R124" s="169">
        <f t="shared" ref="R124:R125" si="303">+O124*G124</f>
        <v>8809.2561720000012</v>
      </c>
      <c r="S124" s="169">
        <f t="shared" ref="S124:S125" si="304">TRUNC(SUM(Q124:R124),2)</f>
        <v>8873.61</v>
      </c>
      <c r="T124" s="161">
        <f t="shared" si="290"/>
        <v>3.7011567699353565E-3</v>
      </c>
    </row>
    <row r="125" spans="2:20" ht="63" customHeight="1" x14ac:dyDescent="0.25">
      <c r="B125" s="162" t="s">
        <v>1279</v>
      </c>
      <c r="C125" s="160" t="s">
        <v>1292</v>
      </c>
      <c r="D125" s="171" t="s">
        <v>125</v>
      </c>
      <c r="E125" s="163" t="s">
        <v>1293</v>
      </c>
      <c r="F125" s="160" t="s">
        <v>22</v>
      </c>
      <c r="G125" s="164">
        <v>2</v>
      </c>
      <c r="H125" s="165">
        <v>17.72</v>
      </c>
      <c r="I125" s="166">
        <v>2530.06</v>
      </c>
      <c r="J125" s="167">
        <f t="shared" si="295"/>
        <v>2547.7800000000002</v>
      </c>
      <c r="K125" s="168">
        <f t="shared" si="296"/>
        <v>35.44</v>
      </c>
      <c r="L125" s="169">
        <f t="shared" si="297"/>
        <v>5060.12</v>
      </c>
      <c r="M125" s="170">
        <f t="shared" si="298"/>
        <v>5095.5600000000004</v>
      </c>
      <c r="N125" s="165">
        <f t="shared" si="299"/>
        <v>21.611311999999998</v>
      </c>
      <c r="O125" s="166">
        <f t="shared" si="300"/>
        <v>3085.6611760000001</v>
      </c>
      <c r="P125" s="167">
        <f t="shared" si="301"/>
        <v>3107.27</v>
      </c>
      <c r="Q125" s="168">
        <f t="shared" si="302"/>
        <v>43.222623999999996</v>
      </c>
      <c r="R125" s="169">
        <f t="shared" si="303"/>
        <v>6171.3223520000001</v>
      </c>
      <c r="S125" s="169">
        <f t="shared" si="304"/>
        <v>6214.54</v>
      </c>
      <c r="T125" s="161">
        <f t="shared" si="290"/>
        <v>2.5920664524397702E-3</v>
      </c>
    </row>
    <row r="126" spans="2:20" ht="51" customHeight="1" x14ac:dyDescent="0.25">
      <c r="B126" s="162" t="s">
        <v>1294</v>
      </c>
      <c r="C126" s="160" t="s">
        <v>1360</v>
      </c>
      <c r="D126" s="171" t="s">
        <v>125</v>
      </c>
      <c r="E126" s="163" t="s">
        <v>1361</v>
      </c>
      <c r="F126" s="160" t="s">
        <v>22</v>
      </c>
      <c r="G126" s="164">
        <v>1</v>
      </c>
      <c r="H126" s="165">
        <v>17.760000000000002</v>
      </c>
      <c r="I126" s="166">
        <v>899.77</v>
      </c>
      <c r="J126" s="167">
        <f t="shared" ref="J126" si="305">TRUNC(SUM(H126:I126),2)</f>
        <v>917.53</v>
      </c>
      <c r="K126" s="168">
        <f t="shared" ref="K126" si="306">+H126*G126</f>
        <v>17.760000000000002</v>
      </c>
      <c r="L126" s="169">
        <f t="shared" ref="L126" si="307">+I126*G126</f>
        <v>899.77</v>
      </c>
      <c r="M126" s="170">
        <f t="shared" ref="M126" si="308">TRUNC(SUM(K126:L126),2)</f>
        <v>917.53</v>
      </c>
      <c r="N126" s="165">
        <f t="shared" ref="N126" si="309">+H126*(1+$T$10)</f>
        <v>21.660096000000003</v>
      </c>
      <c r="O126" s="166">
        <f t="shared" ref="O126" si="310">+I126*(1+$T$10)</f>
        <v>1097.359492</v>
      </c>
      <c r="P126" s="167">
        <f t="shared" ref="P126" si="311">TRUNC(SUM(N126:O126),2)</f>
        <v>1119.01</v>
      </c>
      <c r="Q126" s="168">
        <f t="shared" ref="Q126" si="312">+N126*G126</f>
        <v>21.660096000000003</v>
      </c>
      <c r="R126" s="169">
        <f t="shared" ref="R126" si="313">+O126*G126</f>
        <v>1097.359492</v>
      </c>
      <c r="S126" s="169">
        <f t="shared" ref="S126" si="314">TRUNC(SUM(Q126:R126),2)</f>
        <v>1119.01</v>
      </c>
      <c r="T126" s="161">
        <f t="shared" si="290"/>
        <v>4.6673579716996385E-4</v>
      </c>
    </row>
    <row r="127" spans="2:20" ht="30" customHeight="1" x14ac:dyDescent="0.25">
      <c r="B127" s="162" t="s">
        <v>1295</v>
      </c>
      <c r="C127" s="160" t="s">
        <v>1395</v>
      </c>
      <c r="D127" s="171" t="s">
        <v>1396</v>
      </c>
      <c r="E127" s="163" t="s">
        <v>1397</v>
      </c>
      <c r="F127" s="160" t="s">
        <v>22</v>
      </c>
      <c r="G127" s="164">
        <v>10</v>
      </c>
      <c r="H127" s="165">
        <v>18.64</v>
      </c>
      <c r="I127" s="166">
        <v>41.31</v>
      </c>
      <c r="J127" s="167">
        <f t="shared" ref="J127" si="315">TRUNC(SUM(H127:I127),2)</f>
        <v>59.95</v>
      </c>
      <c r="K127" s="168">
        <f t="shared" ref="K127" si="316">+H127*G127</f>
        <v>186.4</v>
      </c>
      <c r="L127" s="169">
        <f t="shared" ref="L127" si="317">+I127*G127</f>
        <v>413.1</v>
      </c>
      <c r="M127" s="170">
        <f t="shared" ref="M127" si="318">TRUNC(SUM(K127:L127),2)</f>
        <v>599.5</v>
      </c>
      <c r="N127" s="165">
        <f t="shared" ref="N127" si="319">+H127*(1+$T$10)</f>
        <v>22.733344000000002</v>
      </c>
      <c r="O127" s="166">
        <f t="shared" ref="O127" si="320">+I127*(1+$T$10)</f>
        <v>50.381676000000006</v>
      </c>
      <c r="P127" s="167">
        <f>TRUNC(SUM(N127:O127),2)</f>
        <v>73.11</v>
      </c>
      <c r="Q127" s="168">
        <f t="shared" ref="Q127" si="321">+N127*G127</f>
        <v>227.33344000000002</v>
      </c>
      <c r="R127" s="169">
        <f t="shared" ref="R127" si="322">+O127*G127</f>
        <v>503.81676000000004</v>
      </c>
      <c r="S127" s="169">
        <f t="shared" ref="S127" si="323">TRUNC(SUM(Q127:R127),2)</f>
        <v>731.15</v>
      </c>
      <c r="T127" s="161">
        <f t="shared" si="290"/>
        <v>3.0496052591202856E-4</v>
      </c>
    </row>
    <row r="128" spans="2:20" ht="25.5" customHeight="1" x14ac:dyDescent="0.25">
      <c r="B128" s="162"/>
      <c r="C128" s="160"/>
      <c r="D128" s="171"/>
      <c r="E128" s="163"/>
      <c r="F128" s="160"/>
      <c r="G128" s="164"/>
      <c r="H128" s="165"/>
      <c r="I128" s="166"/>
      <c r="J128" s="167"/>
      <c r="K128" s="168"/>
      <c r="L128" s="168"/>
      <c r="M128" s="426"/>
      <c r="N128" s="165"/>
      <c r="O128" s="166"/>
      <c r="P128" s="167"/>
      <c r="Q128" s="168"/>
      <c r="R128" s="168"/>
      <c r="S128" s="168"/>
      <c r="T128" s="161"/>
    </row>
    <row r="129" spans="2:21" ht="24.95" customHeight="1" x14ac:dyDescent="0.25">
      <c r="B129" s="327">
        <v>12</v>
      </c>
      <c r="C129" s="328"/>
      <c r="D129" s="328"/>
      <c r="E129" s="329" t="s">
        <v>970</v>
      </c>
      <c r="F129" s="330"/>
      <c r="G129" s="331"/>
      <c r="H129" s="332"/>
      <c r="I129" s="330"/>
      <c r="J129" s="333">
        <f t="shared" ref="J129:J143" si="324">TRUNC(SUM(H129:I129),2)</f>
        <v>0</v>
      </c>
      <c r="K129" s="391">
        <f>K130+K133+K138+K143+K153+K157+K160+K166+K179+K192+K205</f>
        <v>181901.43299999999</v>
      </c>
      <c r="L129" s="391">
        <f>L130+L133+L138+L143+L153+L157+L160+L166+L179+L192+L205</f>
        <v>483579.74200000003</v>
      </c>
      <c r="M129" s="391">
        <f>M130+M133+M138+M143+M153+M157+M160+M166+M179+M192+M205</f>
        <v>665481.16999999993</v>
      </c>
      <c r="N129" s="396">
        <f t="shared" si="185"/>
        <v>0</v>
      </c>
      <c r="O129" s="350">
        <f t="shared" si="186"/>
        <v>0</v>
      </c>
      <c r="P129" s="351">
        <f t="shared" ref="P129:P143" si="325">TRUNC(SUM(N129:O129),2)</f>
        <v>0</v>
      </c>
      <c r="Q129" s="391">
        <f>Q130+Q133+Q138+Q143+Q153+Q157+Q160+Q166+Q179+Q192+Q205</f>
        <v>221846.98768680001</v>
      </c>
      <c r="R129" s="391">
        <f>R130+R133+R138+R143+R153+R157+R160+R166+R179+R192+R205</f>
        <v>589773.85334320005</v>
      </c>
      <c r="S129" s="391">
        <f>S130+S133+S138+S143+S153+S157+S160+S166+S179+S192+S205</f>
        <v>811620.5199999999</v>
      </c>
      <c r="T129" s="334">
        <f t="shared" ref="T129:T160" si="326">+S129/$S$213</f>
        <v>0.33852454437556462</v>
      </c>
    </row>
    <row r="130" spans="2:21" ht="24.95" customHeight="1" x14ac:dyDescent="0.25">
      <c r="B130" s="339" t="s">
        <v>972</v>
      </c>
      <c r="C130" s="340"/>
      <c r="D130" s="340"/>
      <c r="E130" s="341" t="s">
        <v>971</v>
      </c>
      <c r="F130" s="342"/>
      <c r="G130" s="343"/>
      <c r="H130" s="344"/>
      <c r="I130" s="342"/>
      <c r="J130" s="345"/>
      <c r="K130" s="393">
        <f>SUM(K131:K132)</f>
        <v>2597.56</v>
      </c>
      <c r="L130" s="393">
        <f t="shared" ref="L130:M130" si="327">SUM(L131:L132)</f>
        <v>66163.72</v>
      </c>
      <c r="M130" s="393">
        <f t="shared" si="327"/>
        <v>68761.279999999999</v>
      </c>
      <c r="N130" s="394"/>
      <c r="O130" s="348"/>
      <c r="P130" s="349"/>
      <c r="Q130" s="393">
        <f>SUM(Q131:Q132)</f>
        <v>3167.9841759999999</v>
      </c>
      <c r="R130" s="393">
        <f t="shared" ref="R130" si="328">SUM(R131:R132)</f>
        <v>80693.272912</v>
      </c>
      <c r="S130" s="393">
        <f t="shared" ref="S130" si="329">SUM(S131:S132)</f>
        <v>83861.25</v>
      </c>
      <c r="T130" s="346">
        <f t="shared" si="326"/>
        <v>3.4978282026451625E-2</v>
      </c>
    </row>
    <row r="131" spans="2:21" ht="38.450000000000003" customHeight="1" x14ac:dyDescent="0.25">
      <c r="B131" s="162" t="s">
        <v>973</v>
      </c>
      <c r="C131" s="160" t="s">
        <v>769</v>
      </c>
      <c r="D131" s="171" t="s">
        <v>31</v>
      </c>
      <c r="E131" s="163" t="s">
        <v>770</v>
      </c>
      <c r="F131" s="160" t="s">
        <v>35</v>
      </c>
      <c r="G131" s="164">
        <v>17188</v>
      </c>
      <c r="H131" s="165">
        <v>0.12</v>
      </c>
      <c r="I131" s="166">
        <v>3.69</v>
      </c>
      <c r="J131" s="167">
        <f t="shared" ref="J131:J137" si="330">TRUNC(SUM(H131:I131),2)</f>
        <v>3.81</v>
      </c>
      <c r="K131" s="168">
        <f t="shared" ref="K131:K152" si="331">+H131*G131</f>
        <v>2062.56</v>
      </c>
      <c r="L131" s="169">
        <f t="shared" ref="L131:L152" si="332">+I131*G131</f>
        <v>63423.72</v>
      </c>
      <c r="M131" s="170">
        <f t="shared" ref="M131:M137" si="333">TRUNC(SUM(K131:L131),2)</f>
        <v>65486.28</v>
      </c>
      <c r="N131" s="165">
        <f t="shared" si="185"/>
        <v>0.14635200000000001</v>
      </c>
      <c r="O131" s="166">
        <f t="shared" si="186"/>
        <v>4.500324</v>
      </c>
      <c r="P131" s="167">
        <f t="shared" ref="P131:P137" si="334">TRUNC(SUM(N131:O131),2)</f>
        <v>4.6399999999999997</v>
      </c>
      <c r="Q131" s="168">
        <f t="shared" ref="Q131:Q137" si="335">+N131*G131</f>
        <v>2515.4981760000001</v>
      </c>
      <c r="R131" s="169">
        <f t="shared" ref="R131:R137" si="336">+O131*G131</f>
        <v>77351.568912000002</v>
      </c>
      <c r="S131" s="169">
        <f t="shared" ref="S131:S137" si="337">TRUNC(SUM(Q131:R131),2)</f>
        <v>79867.06</v>
      </c>
      <c r="T131" s="161">
        <f t="shared" si="326"/>
        <v>3.3312317063047991E-2</v>
      </c>
    </row>
    <row r="132" spans="2:21" ht="24.95" customHeight="1" x14ac:dyDescent="0.25">
      <c r="B132" s="162" t="s">
        <v>974</v>
      </c>
      <c r="C132" s="160" t="s">
        <v>975</v>
      </c>
      <c r="D132" s="171" t="s">
        <v>214</v>
      </c>
      <c r="E132" s="163" t="s">
        <v>976</v>
      </c>
      <c r="F132" s="160" t="s">
        <v>35</v>
      </c>
      <c r="G132" s="164">
        <v>500</v>
      </c>
      <c r="H132" s="165">
        <v>1.07</v>
      </c>
      <c r="I132" s="166">
        <v>5.48</v>
      </c>
      <c r="J132" s="167">
        <f t="shared" si="330"/>
        <v>6.55</v>
      </c>
      <c r="K132" s="168">
        <f t="shared" si="331"/>
        <v>535</v>
      </c>
      <c r="L132" s="169">
        <f t="shared" si="332"/>
        <v>2740</v>
      </c>
      <c r="M132" s="170">
        <f t="shared" si="333"/>
        <v>3275</v>
      </c>
      <c r="N132" s="165">
        <f t="shared" si="185"/>
        <v>1.304972</v>
      </c>
      <c r="O132" s="166">
        <f t="shared" si="186"/>
        <v>6.6834080000000009</v>
      </c>
      <c r="P132" s="167">
        <f t="shared" si="334"/>
        <v>7.98</v>
      </c>
      <c r="Q132" s="168">
        <f t="shared" si="335"/>
        <v>652.48599999999999</v>
      </c>
      <c r="R132" s="169">
        <f t="shared" si="336"/>
        <v>3341.7040000000006</v>
      </c>
      <c r="S132" s="169">
        <f t="shared" si="337"/>
        <v>3994.19</v>
      </c>
      <c r="T132" s="161">
        <f t="shared" si="326"/>
        <v>1.6659649634036319E-3</v>
      </c>
    </row>
    <row r="133" spans="2:21" ht="24.95" customHeight="1" x14ac:dyDescent="0.25">
      <c r="B133" s="339" t="s">
        <v>978</v>
      </c>
      <c r="C133" s="357"/>
      <c r="D133" s="358"/>
      <c r="E133" s="341" t="s">
        <v>977</v>
      </c>
      <c r="F133" s="340"/>
      <c r="G133" s="356"/>
      <c r="H133" s="347"/>
      <c r="I133" s="348"/>
      <c r="J133" s="349">
        <f t="shared" si="330"/>
        <v>0</v>
      </c>
      <c r="K133" s="393">
        <f>SUM(K134:K137)</f>
        <v>2462.5400000000004</v>
      </c>
      <c r="L133" s="393">
        <f t="shared" ref="L133:M133" si="338">SUM(L134:L137)</f>
        <v>2153.4700000000003</v>
      </c>
      <c r="M133" s="393">
        <f t="shared" si="338"/>
        <v>4616.01</v>
      </c>
      <c r="N133" s="394">
        <f t="shared" si="185"/>
        <v>0</v>
      </c>
      <c r="O133" s="348">
        <f t="shared" si="186"/>
        <v>0</v>
      </c>
      <c r="P133" s="349">
        <f t="shared" si="334"/>
        <v>0</v>
      </c>
      <c r="Q133" s="393">
        <f>SUM(Q134:Q137)</f>
        <v>3003.3137839999999</v>
      </c>
      <c r="R133" s="393">
        <f t="shared" ref="R133" si="339">SUM(R134:R137)</f>
        <v>2626.3720119999998</v>
      </c>
      <c r="S133" s="393">
        <f t="shared" ref="S133" si="340">SUM(S134:S137)</f>
        <v>5629.66</v>
      </c>
      <c r="T133" s="346">
        <f t="shared" si="326"/>
        <v>2.3481147155931213E-3</v>
      </c>
    </row>
    <row r="134" spans="2:21" ht="24.95" customHeight="1" x14ac:dyDescent="0.25">
      <c r="B134" s="162" t="s">
        <v>979</v>
      </c>
      <c r="C134" s="160" t="s">
        <v>864</v>
      </c>
      <c r="D134" s="171" t="s">
        <v>865</v>
      </c>
      <c r="E134" s="163" t="s">
        <v>866</v>
      </c>
      <c r="F134" s="160" t="s">
        <v>22</v>
      </c>
      <c r="G134" s="164">
        <v>177</v>
      </c>
      <c r="H134" s="165">
        <v>4.88</v>
      </c>
      <c r="I134" s="166">
        <v>5.29</v>
      </c>
      <c r="J134" s="167">
        <f t="shared" si="330"/>
        <v>10.17</v>
      </c>
      <c r="K134" s="168">
        <f t="shared" si="331"/>
        <v>863.76</v>
      </c>
      <c r="L134" s="169">
        <f t="shared" si="332"/>
        <v>936.33</v>
      </c>
      <c r="M134" s="170">
        <f t="shared" si="333"/>
        <v>1800.09</v>
      </c>
      <c r="N134" s="165">
        <f t="shared" si="185"/>
        <v>5.9516479999999996</v>
      </c>
      <c r="O134" s="166">
        <f t="shared" si="186"/>
        <v>6.4516840000000002</v>
      </c>
      <c r="P134" s="167">
        <f t="shared" si="334"/>
        <v>12.4</v>
      </c>
      <c r="Q134" s="168">
        <f t="shared" si="335"/>
        <v>1053.4416959999999</v>
      </c>
      <c r="R134" s="169">
        <f t="shared" si="336"/>
        <v>1141.9480680000001</v>
      </c>
      <c r="S134" s="169">
        <f t="shared" si="337"/>
        <v>2195.38</v>
      </c>
      <c r="T134" s="161">
        <f t="shared" si="326"/>
        <v>9.15686575089584E-4</v>
      </c>
    </row>
    <row r="135" spans="2:21" ht="24.95" customHeight="1" x14ac:dyDescent="0.25">
      <c r="B135" s="162" t="s">
        <v>980</v>
      </c>
      <c r="C135" s="160" t="s">
        <v>765</v>
      </c>
      <c r="D135" s="171" t="s">
        <v>125</v>
      </c>
      <c r="E135" s="163" t="s">
        <v>452</v>
      </c>
      <c r="F135" s="160" t="s">
        <v>22</v>
      </c>
      <c r="G135" s="164">
        <v>48</v>
      </c>
      <c r="H135" s="165">
        <v>7.7</v>
      </c>
      <c r="I135" s="166">
        <v>4.92</v>
      </c>
      <c r="J135" s="167">
        <f t="shared" si="330"/>
        <v>12.62</v>
      </c>
      <c r="K135" s="168">
        <f t="shared" si="331"/>
        <v>369.6</v>
      </c>
      <c r="L135" s="169">
        <f t="shared" si="332"/>
        <v>236.16</v>
      </c>
      <c r="M135" s="170">
        <f t="shared" si="333"/>
        <v>605.76</v>
      </c>
      <c r="N135" s="165">
        <f t="shared" si="185"/>
        <v>9.3909199999999995</v>
      </c>
      <c r="O135" s="166">
        <f t="shared" si="186"/>
        <v>6.000432</v>
      </c>
      <c r="P135" s="167">
        <f t="shared" si="334"/>
        <v>15.39</v>
      </c>
      <c r="Q135" s="168">
        <f t="shared" si="335"/>
        <v>450.76415999999995</v>
      </c>
      <c r="R135" s="169">
        <f t="shared" si="336"/>
        <v>288.020736</v>
      </c>
      <c r="S135" s="169">
        <f t="shared" si="337"/>
        <v>738.78</v>
      </c>
      <c r="T135" s="161">
        <f t="shared" si="326"/>
        <v>3.0814297658932977E-4</v>
      </c>
    </row>
    <row r="136" spans="2:21" ht="24.95" customHeight="1" x14ac:dyDescent="0.25">
      <c r="B136" s="162" t="s">
        <v>981</v>
      </c>
      <c r="C136" s="160" t="s">
        <v>307</v>
      </c>
      <c r="D136" s="171" t="s">
        <v>214</v>
      </c>
      <c r="E136" s="163" t="s">
        <v>308</v>
      </c>
      <c r="F136" s="160" t="s">
        <v>22</v>
      </c>
      <c r="G136" s="164">
        <v>1</v>
      </c>
      <c r="H136" s="165">
        <v>7.88</v>
      </c>
      <c r="I136" s="166">
        <v>12.22</v>
      </c>
      <c r="J136" s="167">
        <f t="shared" si="330"/>
        <v>20.100000000000001</v>
      </c>
      <c r="K136" s="168">
        <f t="shared" si="331"/>
        <v>7.88</v>
      </c>
      <c r="L136" s="169">
        <f t="shared" si="332"/>
        <v>12.22</v>
      </c>
      <c r="M136" s="170">
        <f t="shared" si="333"/>
        <v>20.100000000000001</v>
      </c>
      <c r="N136" s="165">
        <f t="shared" ref="N136:N152" si="341">+H136*(1+$T$10)</f>
        <v>9.6104479999999999</v>
      </c>
      <c r="O136" s="166">
        <f t="shared" ref="O136:O152" si="342">+I136*(1+$T$10)</f>
        <v>14.903512000000001</v>
      </c>
      <c r="P136" s="167">
        <f t="shared" si="334"/>
        <v>24.51</v>
      </c>
      <c r="Q136" s="168">
        <f t="shared" si="335"/>
        <v>9.6104479999999999</v>
      </c>
      <c r="R136" s="169">
        <f t="shared" si="336"/>
        <v>14.903512000000001</v>
      </c>
      <c r="S136" s="169">
        <f t="shared" si="337"/>
        <v>24.51</v>
      </c>
      <c r="T136" s="161">
        <f t="shared" si="326"/>
        <v>1.0223049292352898E-5</v>
      </c>
    </row>
    <row r="137" spans="2:21" ht="24.95" customHeight="1" x14ac:dyDescent="0.25">
      <c r="B137" s="162" t="s">
        <v>982</v>
      </c>
      <c r="C137" s="160" t="s">
        <v>766</v>
      </c>
      <c r="D137" s="171" t="s">
        <v>125</v>
      </c>
      <c r="E137" s="163" t="s">
        <v>455</v>
      </c>
      <c r="F137" s="160" t="s">
        <v>22</v>
      </c>
      <c r="G137" s="164">
        <v>414</v>
      </c>
      <c r="H137" s="165">
        <v>2.95</v>
      </c>
      <c r="I137" s="166">
        <v>2.34</v>
      </c>
      <c r="J137" s="167">
        <f t="shared" si="330"/>
        <v>5.29</v>
      </c>
      <c r="K137" s="168">
        <f t="shared" si="331"/>
        <v>1221.3000000000002</v>
      </c>
      <c r="L137" s="169">
        <f t="shared" si="332"/>
        <v>968.76</v>
      </c>
      <c r="M137" s="170">
        <f t="shared" si="333"/>
        <v>2190.06</v>
      </c>
      <c r="N137" s="165">
        <f t="shared" si="341"/>
        <v>3.5978200000000005</v>
      </c>
      <c r="O137" s="166">
        <f t="shared" si="342"/>
        <v>2.8538639999999997</v>
      </c>
      <c r="P137" s="167">
        <f t="shared" si="334"/>
        <v>6.45</v>
      </c>
      <c r="Q137" s="168">
        <f t="shared" si="335"/>
        <v>1489.4974800000002</v>
      </c>
      <c r="R137" s="169">
        <f t="shared" si="336"/>
        <v>1181.4996959999999</v>
      </c>
      <c r="S137" s="169">
        <f t="shared" si="337"/>
        <v>2670.99</v>
      </c>
      <c r="T137" s="161">
        <f t="shared" si="326"/>
        <v>1.1140621146218548E-3</v>
      </c>
    </row>
    <row r="138" spans="2:21" ht="24.95" customHeight="1" x14ac:dyDescent="0.25">
      <c r="B138" s="339" t="s">
        <v>983</v>
      </c>
      <c r="C138" s="357"/>
      <c r="D138" s="358"/>
      <c r="E138" s="341" t="s">
        <v>984</v>
      </c>
      <c r="F138" s="340"/>
      <c r="G138" s="356"/>
      <c r="H138" s="347"/>
      <c r="I138" s="348"/>
      <c r="J138" s="349">
        <f t="shared" ref="J138" si="343">TRUNC(SUM(H138:I138),2)</f>
        <v>0</v>
      </c>
      <c r="K138" s="393">
        <f>SUM(K139:K142)</f>
        <v>582</v>
      </c>
      <c r="L138" s="393">
        <f t="shared" ref="L138" si="344">SUM(L139:L142)</f>
        <v>1002.89</v>
      </c>
      <c r="M138" s="393">
        <f t="shared" ref="M138" si="345">SUM(M139:M142)</f>
        <v>1584.8899999999999</v>
      </c>
      <c r="N138" s="394">
        <f t="shared" si="341"/>
        <v>0</v>
      </c>
      <c r="O138" s="348">
        <f t="shared" si="342"/>
        <v>0</v>
      </c>
      <c r="P138" s="349">
        <f t="shared" ref="P138" si="346">TRUNC(SUM(N138:O138),2)</f>
        <v>0</v>
      </c>
      <c r="Q138" s="393">
        <f>SUM(Q139:Q142)</f>
        <v>709.80719999999997</v>
      </c>
      <c r="R138" s="393">
        <f t="shared" ref="R138" si="347">SUM(R139:R142)</f>
        <v>1223.124644</v>
      </c>
      <c r="S138" s="393">
        <f t="shared" ref="S138" si="348">SUM(S139:S142)</f>
        <v>1932.91</v>
      </c>
      <c r="T138" s="346">
        <f t="shared" si="326"/>
        <v>8.0621110598457109E-4</v>
      </c>
    </row>
    <row r="139" spans="2:21" ht="24.95" customHeight="1" x14ac:dyDescent="0.25">
      <c r="B139" s="162" t="s">
        <v>985</v>
      </c>
      <c r="C139" s="160" t="s">
        <v>867</v>
      </c>
      <c r="D139" s="171" t="s">
        <v>31</v>
      </c>
      <c r="E139" s="163" t="s">
        <v>868</v>
      </c>
      <c r="F139" s="160" t="s">
        <v>22</v>
      </c>
      <c r="G139" s="164">
        <v>31</v>
      </c>
      <c r="H139" s="165">
        <v>4.4400000000000004</v>
      </c>
      <c r="I139" s="166">
        <v>4.17</v>
      </c>
      <c r="J139" s="167">
        <f t="shared" si="324"/>
        <v>8.61</v>
      </c>
      <c r="K139" s="168">
        <f t="shared" si="331"/>
        <v>137.64000000000001</v>
      </c>
      <c r="L139" s="169">
        <f t="shared" si="332"/>
        <v>129.27000000000001</v>
      </c>
      <c r="M139" s="170">
        <f t="shared" ref="M139:M145" si="349">TRUNC(SUM(K139:L139),2)</f>
        <v>266.91000000000003</v>
      </c>
      <c r="N139" s="165">
        <f t="shared" si="341"/>
        <v>5.4150240000000007</v>
      </c>
      <c r="O139" s="166">
        <f t="shared" si="342"/>
        <v>5.0857320000000001</v>
      </c>
      <c r="P139" s="167">
        <f t="shared" si="325"/>
        <v>10.5</v>
      </c>
      <c r="Q139" s="168">
        <f t="shared" ref="Q139:Q142" si="350">+N139*G139</f>
        <v>167.86574400000003</v>
      </c>
      <c r="R139" s="169">
        <f t="shared" ref="R139:R142" si="351">+O139*G139</f>
        <v>157.657692</v>
      </c>
      <c r="S139" s="169">
        <f t="shared" ref="S139:S142" si="352">TRUNC(SUM(Q139:R139),2)</f>
        <v>325.52</v>
      </c>
      <c r="T139" s="161">
        <f t="shared" si="326"/>
        <v>1.3577343964286883E-4</v>
      </c>
    </row>
    <row r="140" spans="2:21" ht="39.950000000000003" customHeight="1" x14ac:dyDescent="0.25">
      <c r="B140" s="162" t="s">
        <v>986</v>
      </c>
      <c r="C140" s="160" t="s">
        <v>987</v>
      </c>
      <c r="D140" s="171" t="s">
        <v>214</v>
      </c>
      <c r="E140" s="163" t="s">
        <v>988</v>
      </c>
      <c r="F140" s="160" t="s">
        <v>35</v>
      </c>
      <c r="G140" s="164">
        <v>4</v>
      </c>
      <c r="H140" s="165">
        <v>11.97</v>
      </c>
      <c r="I140" s="166">
        <v>34.5</v>
      </c>
      <c r="J140" s="167">
        <f t="shared" si="324"/>
        <v>46.47</v>
      </c>
      <c r="K140" s="168">
        <f t="shared" si="331"/>
        <v>47.88</v>
      </c>
      <c r="L140" s="169">
        <f t="shared" si="332"/>
        <v>138</v>
      </c>
      <c r="M140" s="170">
        <f t="shared" si="349"/>
        <v>185.88</v>
      </c>
      <c r="N140" s="165">
        <f t="shared" si="341"/>
        <v>14.598612000000001</v>
      </c>
      <c r="O140" s="166">
        <f t="shared" si="342"/>
        <v>42.0762</v>
      </c>
      <c r="P140" s="167">
        <f t="shared" si="325"/>
        <v>56.67</v>
      </c>
      <c r="Q140" s="168">
        <f t="shared" si="350"/>
        <v>58.394448000000004</v>
      </c>
      <c r="R140" s="169">
        <f t="shared" si="351"/>
        <v>168.3048</v>
      </c>
      <c r="S140" s="169">
        <f t="shared" si="352"/>
        <v>226.69</v>
      </c>
      <c r="T140" s="161">
        <f t="shared" si="326"/>
        <v>9.4551735784719634E-5</v>
      </c>
    </row>
    <row r="141" spans="2:21" ht="24.95" customHeight="1" x14ac:dyDescent="0.25">
      <c r="B141" s="162" t="s">
        <v>989</v>
      </c>
      <c r="C141" s="160" t="s">
        <v>990</v>
      </c>
      <c r="D141" s="171" t="s">
        <v>214</v>
      </c>
      <c r="E141" s="163" t="s">
        <v>991</v>
      </c>
      <c r="F141" s="160" t="s">
        <v>22</v>
      </c>
      <c r="G141" s="164">
        <v>22</v>
      </c>
      <c r="H141" s="165">
        <v>14.16</v>
      </c>
      <c r="I141" s="166">
        <v>27.17</v>
      </c>
      <c r="J141" s="167">
        <f t="shared" si="324"/>
        <v>41.33</v>
      </c>
      <c r="K141" s="168">
        <f t="shared" si="331"/>
        <v>311.52</v>
      </c>
      <c r="L141" s="169">
        <f t="shared" si="332"/>
        <v>597.74</v>
      </c>
      <c r="M141" s="170">
        <f t="shared" si="349"/>
        <v>909.26</v>
      </c>
      <c r="N141" s="165">
        <f t="shared" si="341"/>
        <v>17.269535999999999</v>
      </c>
      <c r="O141" s="166">
        <f t="shared" si="342"/>
        <v>33.136532000000003</v>
      </c>
      <c r="P141" s="167">
        <f t="shared" si="325"/>
        <v>50.4</v>
      </c>
      <c r="Q141" s="168">
        <f t="shared" si="350"/>
        <v>379.92979199999996</v>
      </c>
      <c r="R141" s="169">
        <f t="shared" si="351"/>
        <v>729.00370400000008</v>
      </c>
      <c r="S141" s="169">
        <f t="shared" si="352"/>
        <v>1108.93</v>
      </c>
      <c r="T141" s="161">
        <f t="shared" si="326"/>
        <v>4.6253145866050174E-4</v>
      </c>
    </row>
    <row r="142" spans="2:21" ht="24.95" customHeight="1" x14ac:dyDescent="0.25">
      <c r="B142" s="162" t="s">
        <v>992</v>
      </c>
      <c r="C142" s="160" t="s">
        <v>993</v>
      </c>
      <c r="D142" s="171" t="s">
        <v>214</v>
      </c>
      <c r="E142" s="163" t="s">
        <v>994</v>
      </c>
      <c r="F142" s="160" t="s">
        <v>22</v>
      </c>
      <c r="G142" s="164">
        <v>6</v>
      </c>
      <c r="H142" s="165">
        <v>14.16</v>
      </c>
      <c r="I142" s="166">
        <v>22.98</v>
      </c>
      <c r="J142" s="167">
        <f t="shared" si="324"/>
        <v>37.14</v>
      </c>
      <c r="K142" s="168">
        <f t="shared" si="331"/>
        <v>84.960000000000008</v>
      </c>
      <c r="L142" s="169">
        <f t="shared" si="332"/>
        <v>137.88</v>
      </c>
      <c r="M142" s="170">
        <f t="shared" si="349"/>
        <v>222.84</v>
      </c>
      <c r="N142" s="165">
        <f t="shared" si="341"/>
        <v>17.269535999999999</v>
      </c>
      <c r="O142" s="166">
        <f t="shared" si="342"/>
        <v>28.026408</v>
      </c>
      <c r="P142" s="167">
        <f t="shared" si="325"/>
        <v>45.29</v>
      </c>
      <c r="Q142" s="168">
        <f t="shared" si="350"/>
        <v>103.61721599999998</v>
      </c>
      <c r="R142" s="169">
        <f t="shared" si="351"/>
        <v>168.15844799999999</v>
      </c>
      <c r="S142" s="169">
        <f t="shared" si="352"/>
        <v>271.77</v>
      </c>
      <c r="T142" s="161">
        <f t="shared" si="326"/>
        <v>1.1335447189648089E-4</v>
      </c>
    </row>
    <row r="143" spans="2:21" ht="24.95" customHeight="1" x14ac:dyDescent="0.25">
      <c r="B143" s="339" t="s">
        <v>996</v>
      </c>
      <c r="C143" s="357"/>
      <c r="D143" s="358"/>
      <c r="E143" s="341" t="s">
        <v>995</v>
      </c>
      <c r="F143" s="340"/>
      <c r="G143" s="356"/>
      <c r="H143" s="347"/>
      <c r="I143" s="348"/>
      <c r="J143" s="349">
        <f t="shared" si="324"/>
        <v>0</v>
      </c>
      <c r="K143" s="393">
        <f>SUM(K144:K152)</f>
        <v>18460.39</v>
      </c>
      <c r="L143" s="393">
        <f>SUM(L144:L152)</f>
        <v>24350.58</v>
      </c>
      <c r="M143" s="393">
        <f>SUM(M144:M152)</f>
        <v>42810.97</v>
      </c>
      <c r="N143" s="394">
        <f t="shared" ref="N143" si="353">+H143*(1+$T$10)</f>
        <v>0</v>
      </c>
      <c r="O143" s="348">
        <f t="shared" ref="O143" si="354">+I143*(1+$T$10)</f>
        <v>0</v>
      </c>
      <c r="P143" s="349">
        <f t="shared" si="325"/>
        <v>0</v>
      </c>
      <c r="Q143" s="393">
        <f>SUM(Q144:Q152)</f>
        <v>22514.291644000004</v>
      </c>
      <c r="R143" s="393">
        <f>SUM(R144:R152)</f>
        <v>29697.967367999998</v>
      </c>
      <c r="S143" s="393">
        <f>SUM(S144:S152)</f>
        <v>52212.22</v>
      </c>
      <c r="T143" s="346">
        <f t="shared" si="326"/>
        <v>2.1777564207391829E-2</v>
      </c>
      <c r="U143" s="395"/>
    </row>
    <row r="144" spans="2:21" ht="24.95" customHeight="1" x14ac:dyDescent="0.25">
      <c r="B144" s="162" t="s">
        <v>1460</v>
      </c>
      <c r="C144" s="160" t="s">
        <v>1000</v>
      </c>
      <c r="D144" s="171" t="s">
        <v>177</v>
      </c>
      <c r="E144" s="163" t="s">
        <v>838</v>
      </c>
      <c r="F144" s="160" t="s">
        <v>227</v>
      </c>
      <c r="G144" s="164">
        <v>820</v>
      </c>
      <c r="H144" s="165">
        <v>0.27</v>
      </c>
      <c r="I144" s="166">
        <v>0.11</v>
      </c>
      <c r="J144" s="167">
        <f t="shared" ref="J144:J145" si="355">TRUNC(SUM(H144:I144),2)</f>
        <v>0.38</v>
      </c>
      <c r="K144" s="168">
        <f t="shared" si="331"/>
        <v>221.4</v>
      </c>
      <c r="L144" s="169">
        <f t="shared" si="332"/>
        <v>90.2</v>
      </c>
      <c r="M144" s="170">
        <f t="shared" si="349"/>
        <v>311.60000000000002</v>
      </c>
      <c r="N144" s="165">
        <f t="shared" si="341"/>
        <v>0.32929200000000003</v>
      </c>
      <c r="O144" s="166">
        <f t="shared" si="342"/>
        <v>0.134156</v>
      </c>
      <c r="P144" s="167">
        <f t="shared" ref="P144:P145" si="356">TRUNC(SUM(N144:O144),2)</f>
        <v>0.46</v>
      </c>
      <c r="Q144" s="168">
        <f t="shared" ref="Q144:Q145" si="357">+N144*G144</f>
        <v>270.01944000000003</v>
      </c>
      <c r="R144" s="169">
        <f t="shared" ref="R144:R145" si="358">+O144*G144</f>
        <v>110.00792</v>
      </c>
      <c r="S144" s="169">
        <f t="shared" ref="S144:S145" si="359">TRUNC(SUM(Q144:R144),2)</f>
        <v>380.02</v>
      </c>
      <c r="T144" s="161">
        <f t="shared" si="326"/>
        <v>1.585052301950203E-4</v>
      </c>
    </row>
    <row r="145" spans="2:20" ht="24.95" customHeight="1" x14ac:dyDescent="0.25">
      <c r="B145" s="162" t="s">
        <v>1461</v>
      </c>
      <c r="C145" s="160" t="s">
        <v>1002</v>
      </c>
      <c r="D145" s="171" t="s">
        <v>177</v>
      </c>
      <c r="E145" s="163" t="s">
        <v>1003</v>
      </c>
      <c r="F145" s="160" t="s">
        <v>227</v>
      </c>
      <c r="G145" s="164">
        <v>2495</v>
      </c>
      <c r="H145" s="165">
        <v>0.27</v>
      </c>
      <c r="I145" s="166">
        <v>0.11</v>
      </c>
      <c r="J145" s="167">
        <f t="shared" si="355"/>
        <v>0.38</v>
      </c>
      <c r="K145" s="168">
        <f t="shared" si="331"/>
        <v>673.65000000000009</v>
      </c>
      <c r="L145" s="169">
        <f t="shared" si="332"/>
        <v>274.45</v>
      </c>
      <c r="M145" s="170">
        <f t="shared" si="349"/>
        <v>948.1</v>
      </c>
      <c r="N145" s="165">
        <f t="shared" si="341"/>
        <v>0.32929200000000003</v>
      </c>
      <c r="O145" s="166">
        <f t="shared" si="342"/>
        <v>0.134156</v>
      </c>
      <c r="P145" s="167">
        <f t="shared" si="356"/>
        <v>0.46</v>
      </c>
      <c r="Q145" s="168">
        <f t="shared" si="357"/>
        <v>821.58354000000008</v>
      </c>
      <c r="R145" s="169">
        <f t="shared" si="358"/>
        <v>334.71922000000001</v>
      </c>
      <c r="S145" s="169">
        <f t="shared" si="359"/>
        <v>1156.3</v>
      </c>
      <c r="T145" s="161">
        <f t="shared" si="326"/>
        <v>4.8228934707252768E-4</v>
      </c>
    </row>
    <row r="146" spans="2:20" ht="24.95" customHeight="1" x14ac:dyDescent="0.25">
      <c r="B146" s="162" t="s">
        <v>1462</v>
      </c>
      <c r="C146" s="160" t="s">
        <v>1005</v>
      </c>
      <c r="D146" s="171" t="s">
        <v>125</v>
      </c>
      <c r="E146" s="163" t="s">
        <v>1006</v>
      </c>
      <c r="F146" s="160" t="s">
        <v>847</v>
      </c>
      <c r="G146" s="164">
        <v>120</v>
      </c>
      <c r="H146" s="165">
        <v>0.47</v>
      </c>
      <c r="I146" s="166">
        <v>0.22</v>
      </c>
      <c r="J146" s="167">
        <f t="shared" ref="J146:J148" si="360">TRUNC(SUM(H146:I146),2)</f>
        <v>0.69</v>
      </c>
      <c r="K146" s="168">
        <f t="shared" si="331"/>
        <v>56.4</v>
      </c>
      <c r="L146" s="169">
        <f t="shared" si="332"/>
        <v>26.4</v>
      </c>
      <c r="M146" s="170">
        <f t="shared" ref="M146:M148" si="361">TRUNC(SUM(K146:L146),2)</f>
        <v>82.8</v>
      </c>
      <c r="N146" s="165">
        <f t="shared" si="341"/>
        <v>0.57321199999999994</v>
      </c>
      <c r="O146" s="166">
        <f t="shared" si="342"/>
        <v>0.26831199999999999</v>
      </c>
      <c r="P146" s="167">
        <f t="shared" ref="P146:P148" si="362">TRUNC(SUM(N146:O146),2)</f>
        <v>0.84</v>
      </c>
      <c r="Q146" s="168">
        <f t="shared" ref="Q146:Q148" si="363">+N146*G146</f>
        <v>68.785439999999994</v>
      </c>
      <c r="R146" s="169">
        <f t="shared" ref="R146:R148" si="364">+O146*G146</f>
        <v>32.19744</v>
      </c>
      <c r="S146" s="169">
        <f t="shared" ref="S146:S148" si="365">TRUNC(SUM(Q146:R146),2)</f>
        <v>100.98</v>
      </c>
      <c r="T146" s="161">
        <f t="shared" si="326"/>
        <v>4.2118462568004712E-5</v>
      </c>
    </row>
    <row r="147" spans="2:20" ht="24.95" customHeight="1" x14ac:dyDescent="0.25">
      <c r="B147" s="162" t="s">
        <v>1463</v>
      </c>
      <c r="C147" s="160" t="s">
        <v>767</v>
      </c>
      <c r="D147" s="171" t="s">
        <v>125</v>
      </c>
      <c r="E147" s="163" t="s">
        <v>472</v>
      </c>
      <c r="F147" s="160" t="s">
        <v>227</v>
      </c>
      <c r="G147" s="164">
        <v>234</v>
      </c>
      <c r="H147" s="165">
        <v>2.95</v>
      </c>
      <c r="I147" s="166">
        <v>1.29</v>
      </c>
      <c r="J147" s="167">
        <f t="shared" si="360"/>
        <v>4.24</v>
      </c>
      <c r="K147" s="168">
        <f t="shared" si="331"/>
        <v>690.30000000000007</v>
      </c>
      <c r="L147" s="169">
        <f t="shared" si="332"/>
        <v>301.86</v>
      </c>
      <c r="M147" s="170">
        <f t="shared" si="361"/>
        <v>992.16</v>
      </c>
      <c r="N147" s="165">
        <f t="shared" si="341"/>
        <v>3.5978200000000005</v>
      </c>
      <c r="O147" s="166">
        <f t="shared" si="342"/>
        <v>1.5732840000000001</v>
      </c>
      <c r="P147" s="167">
        <f t="shared" si="362"/>
        <v>5.17</v>
      </c>
      <c r="Q147" s="168">
        <f t="shared" si="363"/>
        <v>841.88988000000006</v>
      </c>
      <c r="R147" s="169">
        <f t="shared" si="364"/>
        <v>368.14845600000001</v>
      </c>
      <c r="S147" s="169">
        <f t="shared" si="365"/>
        <v>1210.03</v>
      </c>
      <c r="T147" s="161">
        <f t="shared" si="326"/>
        <v>5.0469997287742863E-4</v>
      </c>
    </row>
    <row r="148" spans="2:20" ht="24.95" customHeight="1" x14ac:dyDescent="0.25">
      <c r="B148" s="162" t="s">
        <v>1464</v>
      </c>
      <c r="C148" s="160" t="s">
        <v>1009</v>
      </c>
      <c r="D148" s="171" t="s">
        <v>125</v>
      </c>
      <c r="E148" s="163" t="s">
        <v>1010</v>
      </c>
      <c r="F148" s="160" t="s">
        <v>22</v>
      </c>
      <c r="G148" s="164">
        <v>64</v>
      </c>
      <c r="H148" s="165">
        <v>2.97</v>
      </c>
      <c r="I148" s="166">
        <v>1.45</v>
      </c>
      <c r="J148" s="167">
        <f t="shared" si="360"/>
        <v>4.42</v>
      </c>
      <c r="K148" s="168">
        <f t="shared" si="331"/>
        <v>190.08</v>
      </c>
      <c r="L148" s="169">
        <f t="shared" si="332"/>
        <v>92.8</v>
      </c>
      <c r="M148" s="170">
        <f t="shared" si="361"/>
        <v>282.88</v>
      </c>
      <c r="N148" s="165">
        <f t="shared" si="341"/>
        <v>3.6222120000000002</v>
      </c>
      <c r="O148" s="166">
        <f t="shared" si="342"/>
        <v>1.7684199999999999</v>
      </c>
      <c r="P148" s="167">
        <f t="shared" si="362"/>
        <v>5.39</v>
      </c>
      <c r="Q148" s="168">
        <f t="shared" si="363"/>
        <v>231.82156800000001</v>
      </c>
      <c r="R148" s="169">
        <f t="shared" si="364"/>
        <v>113.17887999999999</v>
      </c>
      <c r="S148" s="169">
        <f t="shared" si="365"/>
        <v>345</v>
      </c>
      <c r="T148" s="161">
        <f t="shared" si="326"/>
        <v>1.4389849065123416E-4</v>
      </c>
    </row>
    <row r="149" spans="2:20" ht="24.95" customHeight="1" x14ac:dyDescent="0.25">
      <c r="B149" s="162" t="s">
        <v>1465</v>
      </c>
      <c r="C149" s="160" t="s">
        <v>768</v>
      </c>
      <c r="D149" s="171" t="s">
        <v>125</v>
      </c>
      <c r="E149" s="163" t="s">
        <v>492</v>
      </c>
      <c r="F149" s="160" t="s">
        <v>227</v>
      </c>
      <c r="G149" s="164">
        <v>820</v>
      </c>
      <c r="H149" s="165">
        <v>0.16</v>
      </c>
      <c r="I149" s="166">
        <v>0.44</v>
      </c>
      <c r="J149" s="167">
        <f t="shared" ref="J149:J176" si="366">TRUNC(SUM(H149:I149),2)</f>
        <v>0.6</v>
      </c>
      <c r="K149" s="168">
        <f t="shared" si="331"/>
        <v>131.19999999999999</v>
      </c>
      <c r="L149" s="169">
        <f t="shared" si="332"/>
        <v>360.8</v>
      </c>
      <c r="M149" s="170">
        <f t="shared" ref="M149:M176" si="367">TRUNC(SUM(K149:L149),2)</f>
        <v>492</v>
      </c>
      <c r="N149" s="165">
        <f t="shared" si="341"/>
        <v>0.195136</v>
      </c>
      <c r="O149" s="166">
        <f t="shared" si="342"/>
        <v>0.53662399999999999</v>
      </c>
      <c r="P149" s="167">
        <f t="shared" ref="P149:P176" si="368">TRUNC(SUM(N149:O149),2)</f>
        <v>0.73</v>
      </c>
      <c r="Q149" s="168">
        <f t="shared" ref="Q149:Q176" si="369">+N149*G149</f>
        <v>160.01151999999999</v>
      </c>
      <c r="R149" s="169">
        <f t="shared" ref="R149:R176" si="370">+O149*G149</f>
        <v>440.03167999999999</v>
      </c>
      <c r="S149" s="169">
        <f t="shared" ref="S149:S176" si="371">TRUNC(SUM(Q149:R149),2)</f>
        <v>600.04</v>
      </c>
      <c r="T149" s="161">
        <f t="shared" si="326"/>
        <v>2.5027492849381605E-4</v>
      </c>
    </row>
    <row r="150" spans="2:20" ht="24.95" customHeight="1" x14ac:dyDescent="0.25">
      <c r="B150" s="162" t="s">
        <v>1466</v>
      </c>
      <c r="C150" s="160" t="s">
        <v>1013</v>
      </c>
      <c r="D150" s="171" t="s">
        <v>905</v>
      </c>
      <c r="E150" s="163" t="s">
        <v>1014</v>
      </c>
      <c r="F150" s="160" t="s">
        <v>847</v>
      </c>
      <c r="G150" s="164">
        <v>1664</v>
      </c>
      <c r="H150" s="165">
        <v>0.2</v>
      </c>
      <c r="I150" s="166">
        <v>0.18</v>
      </c>
      <c r="J150" s="167">
        <f t="shared" si="366"/>
        <v>0.38</v>
      </c>
      <c r="K150" s="168">
        <f t="shared" si="331"/>
        <v>332.8</v>
      </c>
      <c r="L150" s="169">
        <f t="shared" si="332"/>
        <v>299.52</v>
      </c>
      <c r="M150" s="170">
        <f t="shared" si="367"/>
        <v>632.32000000000005</v>
      </c>
      <c r="N150" s="165">
        <f t="shared" si="341"/>
        <v>0.24392000000000003</v>
      </c>
      <c r="O150" s="166">
        <f t="shared" si="342"/>
        <v>0.219528</v>
      </c>
      <c r="P150" s="167">
        <f t="shared" si="368"/>
        <v>0.46</v>
      </c>
      <c r="Q150" s="168">
        <f t="shared" si="369"/>
        <v>405.88288000000006</v>
      </c>
      <c r="R150" s="169">
        <f t="shared" si="370"/>
        <v>365.29459200000002</v>
      </c>
      <c r="S150" s="169">
        <f t="shared" si="371"/>
        <v>771.17</v>
      </c>
      <c r="T150" s="161">
        <f t="shared" si="326"/>
        <v>3.2165275082757174E-4</v>
      </c>
    </row>
    <row r="151" spans="2:20" ht="24.95" customHeight="1" x14ac:dyDescent="0.25">
      <c r="B151" s="162" t="s">
        <v>1467</v>
      </c>
      <c r="C151" s="160" t="s">
        <v>1015</v>
      </c>
      <c r="D151" s="171" t="s">
        <v>177</v>
      </c>
      <c r="E151" s="163" t="s">
        <v>1016</v>
      </c>
      <c r="F151" s="160" t="s">
        <v>227</v>
      </c>
      <c r="G151" s="164">
        <v>2487</v>
      </c>
      <c r="H151" s="165">
        <v>2.79</v>
      </c>
      <c r="I151" s="166">
        <v>0.94</v>
      </c>
      <c r="J151" s="167">
        <f t="shared" si="366"/>
        <v>3.73</v>
      </c>
      <c r="K151" s="168">
        <f t="shared" si="331"/>
        <v>6938.7300000000005</v>
      </c>
      <c r="L151" s="169">
        <f t="shared" si="332"/>
        <v>2337.7799999999997</v>
      </c>
      <c r="M151" s="170">
        <f t="shared" si="367"/>
        <v>9276.51</v>
      </c>
      <c r="N151" s="165">
        <f t="shared" si="341"/>
        <v>3.4026840000000003</v>
      </c>
      <c r="O151" s="166">
        <f t="shared" si="342"/>
        <v>1.1464239999999999</v>
      </c>
      <c r="P151" s="167">
        <f t="shared" si="368"/>
        <v>4.54</v>
      </c>
      <c r="Q151" s="168">
        <f t="shared" si="369"/>
        <v>8462.4751080000005</v>
      </c>
      <c r="R151" s="169">
        <f t="shared" si="370"/>
        <v>2851.1564879999996</v>
      </c>
      <c r="S151" s="169">
        <f t="shared" si="371"/>
        <v>11313.63</v>
      </c>
      <c r="T151" s="161">
        <f t="shared" si="326"/>
        <v>4.7188819732942675E-3</v>
      </c>
    </row>
    <row r="152" spans="2:20" ht="24.95" customHeight="1" x14ac:dyDescent="0.25">
      <c r="B152" s="162" t="s">
        <v>1468</v>
      </c>
      <c r="C152" s="160" t="s">
        <v>1017</v>
      </c>
      <c r="D152" s="171" t="s">
        <v>177</v>
      </c>
      <c r="E152" s="163" t="s">
        <v>1018</v>
      </c>
      <c r="F152" s="160" t="s">
        <v>227</v>
      </c>
      <c r="G152" s="164">
        <v>823</v>
      </c>
      <c r="H152" s="165">
        <v>11.21</v>
      </c>
      <c r="I152" s="166">
        <v>24.99</v>
      </c>
      <c r="J152" s="167">
        <f t="shared" si="366"/>
        <v>36.200000000000003</v>
      </c>
      <c r="K152" s="168">
        <f t="shared" si="331"/>
        <v>9225.83</v>
      </c>
      <c r="L152" s="169">
        <f t="shared" si="332"/>
        <v>20566.77</v>
      </c>
      <c r="M152" s="170">
        <f t="shared" si="367"/>
        <v>29792.6</v>
      </c>
      <c r="N152" s="165">
        <f t="shared" si="341"/>
        <v>13.671716000000002</v>
      </c>
      <c r="O152" s="166">
        <f t="shared" si="342"/>
        <v>30.477803999999999</v>
      </c>
      <c r="P152" s="167">
        <f t="shared" si="368"/>
        <v>44.14</v>
      </c>
      <c r="Q152" s="168">
        <f t="shared" si="369"/>
        <v>11251.822268000002</v>
      </c>
      <c r="R152" s="169">
        <f t="shared" si="370"/>
        <v>25083.232691999998</v>
      </c>
      <c r="S152" s="169">
        <f t="shared" si="371"/>
        <v>36335.050000000003</v>
      </c>
      <c r="T152" s="161">
        <f t="shared" si="326"/>
        <v>1.515524305141196E-2</v>
      </c>
    </row>
    <row r="153" spans="2:20" ht="24.95" customHeight="1" x14ac:dyDescent="0.25">
      <c r="B153" s="339" t="s">
        <v>1488</v>
      </c>
      <c r="C153" s="357"/>
      <c r="D153" s="358"/>
      <c r="E153" s="341" t="s">
        <v>1021</v>
      </c>
      <c r="F153" s="340"/>
      <c r="G153" s="356"/>
      <c r="H153" s="347"/>
      <c r="I153" s="348"/>
      <c r="J153" s="349">
        <f t="shared" ref="J153" si="372">TRUNC(SUM(H153:I153),2)</f>
        <v>0</v>
      </c>
      <c r="K153" s="393">
        <f>SUM(K154:K156)</f>
        <v>405.95</v>
      </c>
      <c r="L153" s="393">
        <f t="shared" ref="L153" si="373">SUM(L154:L156)</f>
        <v>823.29</v>
      </c>
      <c r="M153" s="393">
        <f t="shared" ref="M153" si="374">SUM(M154:M156)</f>
        <v>1229.24</v>
      </c>
      <c r="N153" s="394">
        <f t="shared" ref="N153" si="375">+H153*(1+$T$10)</f>
        <v>0</v>
      </c>
      <c r="O153" s="348">
        <f t="shared" ref="O153" si="376">+I153*(1+$T$10)</f>
        <v>0</v>
      </c>
      <c r="P153" s="349">
        <f t="shared" ref="P153" si="377">TRUNC(SUM(N153:O153),2)</f>
        <v>0</v>
      </c>
      <c r="Q153" s="393">
        <f>SUM(Q154:Q156)</f>
        <v>495.09661999999992</v>
      </c>
      <c r="R153" s="393">
        <f t="shared" ref="R153" si="378">SUM(R154:R156)</f>
        <v>1004.0844840000001</v>
      </c>
      <c r="S153" s="393">
        <f t="shared" ref="S153" si="379">SUM(S154:S156)</f>
        <v>1499.17</v>
      </c>
      <c r="T153" s="346">
        <f t="shared" si="326"/>
        <v>6.2529942095539343E-4</v>
      </c>
    </row>
    <row r="154" spans="2:20" ht="24.95" customHeight="1" x14ac:dyDescent="0.25">
      <c r="B154" s="162" t="s">
        <v>1019</v>
      </c>
      <c r="C154" s="160" t="s">
        <v>1024</v>
      </c>
      <c r="D154" s="171" t="s">
        <v>905</v>
      </c>
      <c r="E154" s="163" t="s">
        <v>1025</v>
      </c>
      <c r="F154" s="160" t="s">
        <v>847</v>
      </c>
      <c r="G154" s="164">
        <v>4</v>
      </c>
      <c r="H154" s="165">
        <v>0.91</v>
      </c>
      <c r="I154" s="166">
        <v>2.2400000000000002</v>
      </c>
      <c r="J154" s="167">
        <f t="shared" si="366"/>
        <v>3.15</v>
      </c>
      <c r="K154" s="168">
        <f t="shared" ref="K154:K176" si="380">+H154*G154</f>
        <v>3.64</v>
      </c>
      <c r="L154" s="169">
        <f t="shared" ref="L154:L176" si="381">+I154*G154</f>
        <v>8.9600000000000009</v>
      </c>
      <c r="M154" s="170">
        <f t="shared" si="367"/>
        <v>12.6</v>
      </c>
      <c r="N154" s="165">
        <f t="shared" ref="N154:N176" si="382">+H154*(1+$T$10)</f>
        <v>1.109836</v>
      </c>
      <c r="O154" s="166">
        <f t="shared" ref="O154:O176" si="383">+I154*(1+$T$10)</f>
        <v>2.7319040000000001</v>
      </c>
      <c r="P154" s="167">
        <f t="shared" si="368"/>
        <v>3.84</v>
      </c>
      <c r="Q154" s="168">
        <f t="shared" si="369"/>
        <v>4.4393440000000002</v>
      </c>
      <c r="R154" s="169">
        <f t="shared" si="370"/>
        <v>10.927616</v>
      </c>
      <c r="S154" s="169">
        <f t="shared" si="371"/>
        <v>15.36</v>
      </c>
      <c r="T154" s="161">
        <f t="shared" si="326"/>
        <v>6.4066110620375552E-6</v>
      </c>
    </row>
    <row r="155" spans="2:20" ht="24.95" customHeight="1" x14ac:dyDescent="0.25">
      <c r="B155" s="162" t="s">
        <v>1491</v>
      </c>
      <c r="C155" s="160" t="s">
        <v>1255</v>
      </c>
      <c r="D155" s="171" t="s">
        <v>125</v>
      </c>
      <c r="E155" s="163" t="s">
        <v>1256</v>
      </c>
      <c r="F155" s="160" t="s">
        <v>22</v>
      </c>
      <c r="G155" s="164">
        <v>5</v>
      </c>
      <c r="H155" s="165">
        <v>29.95</v>
      </c>
      <c r="I155" s="166">
        <v>35.69</v>
      </c>
      <c r="J155" s="167">
        <f t="shared" ref="J155:J156" si="384">TRUNC(SUM(H155:I155),2)</f>
        <v>65.64</v>
      </c>
      <c r="K155" s="168">
        <f t="shared" ref="K155:K156" si="385">+H155*G155</f>
        <v>149.75</v>
      </c>
      <c r="L155" s="169">
        <f t="shared" ref="L155:L156" si="386">+I155*G155</f>
        <v>178.45</v>
      </c>
      <c r="M155" s="170">
        <f t="shared" ref="M155:M156" si="387">TRUNC(SUM(K155:L155),2)</f>
        <v>328.2</v>
      </c>
      <c r="N155" s="165">
        <f t="shared" ref="N155:N156" si="388">+H155*(1+$T$10)</f>
        <v>36.52702</v>
      </c>
      <c r="O155" s="166">
        <f t="shared" ref="O155:O156" si="389">+I155*(1+$T$10)</f>
        <v>43.527524</v>
      </c>
      <c r="P155" s="167">
        <f t="shared" ref="P155:P156" si="390">TRUNC(SUM(N155:O155),2)</f>
        <v>80.05</v>
      </c>
      <c r="Q155" s="168">
        <f t="shared" ref="Q155:Q156" si="391">+N155*G155</f>
        <v>182.63509999999999</v>
      </c>
      <c r="R155" s="169">
        <f t="shared" ref="R155:R156" si="392">+O155*G155</f>
        <v>217.63762</v>
      </c>
      <c r="S155" s="169">
        <f t="shared" ref="S155:S156" si="393">TRUNC(SUM(Q155:R155),2)</f>
        <v>400.27</v>
      </c>
      <c r="T155" s="161">
        <f t="shared" si="326"/>
        <v>1.6695144595063621E-4</v>
      </c>
    </row>
    <row r="156" spans="2:20" ht="24.95" customHeight="1" x14ac:dyDescent="0.25">
      <c r="B156" s="162" t="s">
        <v>1492</v>
      </c>
      <c r="C156" s="160" t="s">
        <v>997</v>
      </c>
      <c r="D156" s="171" t="s">
        <v>214</v>
      </c>
      <c r="E156" s="163" t="s">
        <v>998</v>
      </c>
      <c r="F156" s="160" t="s">
        <v>22</v>
      </c>
      <c r="G156" s="164">
        <v>28</v>
      </c>
      <c r="H156" s="165">
        <v>9.02</v>
      </c>
      <c r="I156" s="166">
        <v>22.71</v>
      </c>
      <c r="J156" s="167">
        <f t="shared" si="384"/>
        <v>31.73</v>
      </c>
      <c r="K156" s="168">
        <f t="shared" si="385"/>
        <v>252.56</v>
      </c>
      <c r="L156" s="169">
        <f t="shared" si="386"/>
        <v>635.88</v>
      </c>
      <c r="M156" s="170">
        <f t="shared" si="387"/>
        <v>888.44</v>
      </c>
      <c r="N156" s="165">
        <f t="shared" si="388"/>
        <v>11.000791999999999</v>
      </c>
      <c r="O156" s="166">
        <f t="shared" si="389"/>
        <v>27.697116000000001</v>
      </c>
      <c r="P156" s="167">
        <f t="shared" si="390"/>
        <v>38.69</v>
      </c>
      <c r="Q156" s="168">
        <f t="shared" si="391"/>
        <v>308.02217599999994</v>
      </c>
      <c r="R156" s="169">
        <f t="shared" si="392"/>
        <v>775.51924800000006</v>
      </c>
      <c r="S156" s="169">
        <f t="shared" si="393"/>
        <v>1083.54</v>
      </c>
      <c r="T156" s="161">
        <f t="shared" si="326"/>
        <v>4.5194136394271958E-4</v>
      </c>
    </row>
    <row r="157" spans="2:20" ht="24.95" customHeight="1" x14ac:dyDescent="0.25">
      <c r="B157" s="339" t="s">
        <v>1022</v>
      </c>
      <c r="C157" s="357"/>
      <c r="D157" s="358"/>
      <c r="E157" s="341" t="s">
        <v>1027</v>
      </c>
      <c r="F157" s="340"/>
      <c r="G157" s="356"/>
      <c r="H157" s="347"/>
      <c r="I157" s="348"/>
      <c r="J157" s="349">
        <f t="shared" si="366"/>
        <v>0</v>
      </c>
      <c r="K157" s="393">
        <f>SUM(K158:K159)</f>
        <v>3252.23</v>
      </c>
      <c r="L157" s="393">
        <f>SUM(L158:L159)</f>
        <v>27381.969999999998</v>
      </c>
      <c r="M157" s="393">
        <f>SUM(M158:M159)</f>
        <v>30634.2</v>
      </c>
      <c r="N157" s="394">
        <f t="shared" si="382"/>
        <v>0</v>
      </c>
      <c r="O157" s="348">
        <f t="shared" si="383"/>
        <v>0</v>
      </c>
      <c r="P157" s="349">
        <f t="shared" si="368"/>
        <v>0</v>
      </c>
      <c r="Q157" s="393">
        <f>SUM(Q158:Q159)</f>
        <v>3966.4197079999999</v>
      </c>
      <c r="R157" s="393">
        <f>SUM(R158:R159)</f>
        <v>33395.050611999999</v>
      </c>
      <c r="S157" s="393">
        <f>SUM(S158:S159)</f>
        <v>37361.460000000006</v>
      </c>
      <c r="T157" s="346">
        <f t="shared" si="326"/>
        <v>1.5583355659496985E-2</v>
      </c>
    </row>
    <row r="158" spans="2:20" ht="24.95" customHeight="1" x14ac:dyDescent="0.25">
      <c r="B158" s="162" t="s">
        <v>1023</v>
      </c>
      <c r="C158" s="160" t="s">
        <v>771</v>
      </c>
      <c r="D158" s="171" t="s">
        <v>125</v>
      </c>
      <c r="E158" s="163" t="s">
        <v>553</v>
      </c>
      <c r="F158" s="160" t="s">
        <v>22</v>
      </c>
      <c r="G158" s="164">
        <v>373</v>
      </c>
      <c r="H158" s="165">
        <v>8.1999999999999993</v>
      </c>
      <c r="I158" s="166">
        <v>72.69</v>
      </c>
      <c r="J158" s="167">
        <f t="shared" si="366"/>
        <v>80.89</v>
      </c>
      <c r="K158" s="168">
        <f t="shared" si="380"/>
        <v>3058.6</v>
      </c>
      <c r="L158" s="169">
        <f t="shared" si="381"/>
        <v>27113.37</v>
      </c>
      <c r="M158" s="170">
        <f t="shared" si="367"/>
        <v>30171.97</v>
      </c>
      <c r="N158" s="165">
        <f t="shared" si="382"/>
        <v>10.000719999999999</v>
      </c>
      <c r="O158" s="166">
        <f t="shared" si="383"/>
        <v>88.652723999999992</v>
      </c>
      <c r="P158" s="167">
        <f t="shared" si="368"/>
        <v>98.65</v>
      </c>
      <c r="Q158" s="168">
        <f t="shared" si="369"/>
        <v>3730.26856</v>
      </c>
      <c r="R158" s="169">
        <f t="shared" si="370"/>
        <v>33067.466051999996</v>
      </c>
      <c r="S158" s="169">
        <f t="shared" si="371"/>
        <v>36797.730000000003</v>
      </c>
      <c r="T158" s="161">
        <f t="shared" si="326"/>
        <v>1.5348225525772868E-2</v>
      </c>
    </row>
    <row r="159" spans="2:20" ht="24.95" customHeight="1" x14ac:dyDescent="0.25">
      <c r="B159" s="162" t="s">
        <v>1254</v>
      </c>
      <c r="C159" s="160">
        <v>72596</v>
      </c>
      <c r="D159" s="171" t="s">
        <v>905</v>
      </c>
      <c r="E159" s="163" t="s">
        <v>1032</v>
      </c>
      <c r="F159" s="160" t="s">
        <v>847</v>
      </c>
      <c r="G159" s="164">
        <v>17</v>
      </c>
      <c r="H159" s="165">
        <v>11.39</v>
      </c>
      <c r="I159" s="166">
        <v>15.8</v>
      </c>
      <c r="J159" s="167">
        <f t="shared" si="366"/>
        <v>27.19</v>
      </c>
      <c r="K159" s="168">
        <f t="shared" si="380"/>
        <v>193.63</v>
      </c>
      <c r="L159" s="169">
        <f t="shared" si="381"/>
        <v>268.60000000000002</v>
      </c>
      <c r="M159" s="170">
        <f t="shared" si="367"/>
        <v>462.23</v>
      </c>
      <c r="N159" s="165">
        <f t="shared" si="382"/>
        <v>13.891244</v>
      </c>
      <c r="O159" s="166">
        <f t="shared" si="383"/>
        <v>19.269680000000001</v>
      </c>
      <c r="P159" s="167">
        <f t="shared" si="368"/>
        <v>33.159999999999997</v>
      </c>
      <c r="Q159" s="168">
        <f t="shared" si="369"/>
        <v>236.15114800000001</v>
      </c>
      <c r="R159" s="169">
        <f t="shared" si="370"/>
        <v>327.58456000000001</v>
      </c>
      <c r="S159" s="169">
        <f t="shared" si="371"/>
        <v>563.73</v>
      </c>
      <c r="T159" s="161">
        <f t="shared" si="326"/>
        <v>2.3513013372411664E-4</v>
      </c>
    </row>
    <row r="160" spans="2:20" ht="24.95" customHeight="1" x14ac:dyDescent="0.25">
      <c r="B160" s="339" t="s">
        <v>1026</v>
      </c>
      <c r="C160" s="357"/>
      <c r="D160" s="358"/>
      <c r="E160" s="341" t="s">
        <v>1035</v>
      </c>
      <c r="F160" s="340"/>
      <c r="G160" s="356"/>
      <c r="H160" s="347"/>
      <c r="I160" s="348"/>
      <c r="J160" s="349">
        <f t="shared" ref="J160" si="394">TRUNC(SUM(H160:I160),2)</f>
        <v>0</v>
      </c>
      <c r="K160" s="393">
        <f>SUM(K161:K165)</f>
        <v>95841.543000000005</v>
      </c>
      <c r="L160" s="393">
        <f>SUM(L161:L165)</f>
        <v>66098.042000000001</v>
      </c>
      <c r="M160" s="393">
        <f>SUM(M161:M165)</f>
        <v>161939.57999999999</v>
      </c>
      <c r="N160" s="394">
        <f t="shared" ref="N160" si="395">+H160*(1+$T$10)</f>
        <v>0</v>
      </c>
      <c r="O160" s="348">
        <f t="shared" ref="O160" si="396">+I160*(1+$T$10)</f>
        <v>0</v>
      </c>
      <c r="P160" s="349">
        <f t="shared" ref="P160" si="397">TRUNC(SUM(N160:O160),2)</f>
        <v>0</v>
      </c>
      <c r="Q160" s="393">
        <f>SUM(Q161:Q165)</f>
        <v>116888.3458428</v>
      </c>
      <c r="R160" s="393">
        <f>SUM(R161:R165)</f>
        <v>80613.172023200008</v>
      </c>
      <c r="S160" s="393">
        <f>SUM(S161:S165)</f>
        <v>197501.49</v>
      </c>
      <c r="T160" s="346">
        <f t="shared" si="326"/>
        <v>8.2377293659042949E-2</v>
      </c>
    </row>
    <row r="161" spans="2:20" ht="24.95" customHeight="1" x14ac:dyDescent="0.25">
      <c r="B161" s="162" t="s">
        <v>1028</v>
      </c>
      <c r="C161" s="160" t="s">
        <v>1390</v>
      </c>
      <c r="D161" s="171" t="s">
        <v>125</v>
      </c>
      <c r="E161" s="163" t="s">
        <v>304</v>
      </c>
      <c r="F161" s="160" t="s">
        <v>35</v>
      </c>
      <c r="G161" s="164">
        <v>2032</v>
      </c>
      <c r="H161" s="165">
        <v>26.53</v>
      </c>
      <c r="I161" s="166">
        <v>22.71</v>
      </c>
      <c r="J161" s="167">
        <f t="shared" si="366"/>
        <v>49.24</v>
      </c>
      <c r="K161" s="168">
        <f t="shared" si="380"/>
        <v>53908.959999999999</v>
      </c>
      <c r="L161" s="169">
        <f t="shared" si="381"/>
        <v>46146.720000000001</v>
      </c>
      <c r="M161" s="170">
        <f t="shared" si="367"/>
        <v>100055.67999999999</v>
      </c>
      <c r="N161" s="165">
        <f t="shared" si="382"/>
        <v>32.355988000000004</v>
      </c>
      <c r="O161" s="166">
        <f t="shared" si="383"/>
        <v>27.697116000000001</v>
      </c>
      <c r="P161" s="167">
        <f t="shared" si="368"/>
        <v>60.05</v>
      </c>
      <c r="Q161" s="168">
        <f t="shared" si="369"/>
        <v>65747.367616000003</v>
      </c>
      <c r="R161" s="169">
        <f t="shared" si="370"/>
        <v>56280.539712000005</v>
      </c>
      <c r="S161" s="169">
        <f t="shared" si="371"/>
        <v>122027.9</v>
      </c>
      <c r="T161" s="161">
        <f t="shared" ref="T161:T192" si="398">+S161/$S$213</f>
        <v>5.0897480079245612E-2</v>
      </c>
    </row>
    <row r="162" spans="2:20" ht="24.95" customHeight="1" x14ac:dyDescent="0.25">
      <c r="B162" s="162" t="s">
        <v>1469</v>
      </c>
      <c r="C162" s="160">
        <v>9524</v>
      </c>
      <c r="D162" s="171" t="s">
        <v>177</v>
      </c>
      <c r="E162" s="163" t="s">
        <v>1248</v>
      </c>
      <c r="F162" s="160" t="s">
        <v>227</v>
      </c>
      <c r="G162" s="164">
        <v>49</v>
      </c>
      <c r="H162" s="165">
        <v>2.79</v>
      </c>
      <c r="I162" s="166">
        <f>4.7-H162</f>
        <v>1.9100000000000001</v>
      </c>
      <c r="J162" s="167">
        <f t="shared" ref="J162:J163" si="399">TRUNC(SUM(H162:I162),2)</f>
        <v>4.7</v>
      </c>
      <c r="K162" s="168">
        <f t="shared" ref="K162:K163" si="400">+H162*G162</f>
        <v>136.71</v>
      </c>
      <c r="L162" s="169">
        <f t="shared" ref="L162:L163" si="401">+I162*G162</f>
        <v>93.59</v>
      </c>
      <c r="M162" s="170">
        <f t="shared" ref="M162:M163" si="402">TRUNC(SUM(K162:L162),2)</f>
        <v>230.3</v>
      </c>
      <c r="N162" s="165">
        <f t="shared" ref="N162:N163" si="403">+H162*(1+$T$10)</f>
        <v>3.4026840000000003</v>
      </c>
      <c r="O162" s="166">
        <f t="shared" ref="O162:O163" si="404">+I162*(1+$T$10)</f>
        <v>2.3294360000000003</v>
      </c>
      <c r="P162" s="167">
        <f t="shared" ref="P162:P163" si="405">TRUNC(SUM(N162:O162),2)</f>
        <v>5.73</v>
      </c>
      <c r="Q162" s="168">
        <f t="shared" ref="Q162:Q163" si="406">+N162*G162</f>
        <v>166.731516</v>
      </c>
      <c r="R162" s="169">
        <f t="shared" ref="R162:R163" si="407">+O162*G162</f>
        <v>114.14236400000001</v>
      </c>
      <c r="S162" s="169">
        <f t="shared" ref="S162:S163" si="408">TRUNC(SUM(Q162:R162),2)</f>
        <v>280.87</v>
      </c>
      <c r="T162" s="161">
        <f t="shared" si="398"/>
        <v>1.1715005527307866E-4</v>
      </c>
    </row>
    <row r="163" spans="2:20" ht="24.95" customHeight="1" x14ac:dyDescent="0.25">
      <c r="B163" s="162" t="s">
        <v>1493</v>
      </c>
      <c r="C163" s="160" t="s">
        <v>1249</v>
      </c>
      <c r="D163" s="171" t="s">
        <v>177</v>
      </c>
      <c r="E163" s="163" t="s">
        <v>1242</v>
      </c>
      <c r="F163" s="160" t="s">
        <v>227</v>
      </c>
      <c r="G163" s="164">
        <v>36</v>
      </c>
      <c r="H163" s="165">
        <v>2.2400000000000002</v>
      </c>
      <c r="I163" s="166">
        <f>5.11-H163</f>
        <v>2.87</v>
      </c>
      <c r="J163" s="167">
        <f t="shared" si="399"/>
        <v>5.1100000000000003</v>
      </c>
      <c r="K163" s="168">
        <f t="shared" si="400"/>
        <v>80.640000000000015</v>
      </c>
      <c r="L163" s="169">
        <f t="shared" si="401"/>
        <v>103.32000000000001</v>
      </c>
      <c r="M163" s="170">
        <f t="shared" si="402"/>
        <v>183.96</v>
      </c>
      <c r="N163" s="165">
        <f t="shared" si="403"/>
        <v>2.7319040000000001</v>
      </c>
      <c r="O163" s="166">
        <f t="shared" si="404"/>
        <v>3.5002520000000001</v>
      </c>
      <c r="P163" s="167">
        <f t="shared" si="405"/>
        <v>6.23</v>
      </c>
      <c r="Q163" s="168">
        <f t="shared" si="406"/>
        <v>98.348544000000004</v>
      </c>
      <c r="R163" s="169">
        <f t="shared" si="407"/>
        <v>126.009072</v>
      </c>
      <c r="S163" s="169">
        <f t="shared" si="408"/>
        <v>224.35</v>
      </c>
      <c r="T163" s="161">
        <f t="shared" si="398"/>
        <v>9.357572863073734E-5</v>
      </c>
    </row>
    <row r="164" spans="2:20" ht="24.95" customHeight="1" x14ac:dyDescent="0.25">
      <c r="B164" s="162" t="s">
        <v>1494</v>
      </c>
      <c r="C164" s="160">
        <v>9526</v>
      </c>
      <c r="D164" s="171" t="s">
        <v>177</v>
      </c>
      <c r="E164" s="163" t="s">
        <v>952</v>
      </c>
      <c r="F164" s="160" t="s">
        <v>227</v>
      </c>
      <c r="G164" s="164">
        <v>820</v>
      </c>
      <c r="H164" s="165">
        <v>5.6</v>
      </c>
      <c r="I164" s="166">
        <f>11.92-H164</f>
        <v>6.32</v>
      </c>
      <c r="J164" s="167">
        <f t="shared" si="366"/>
        <v>11.92</v>
      </c>
      <c r="K164" s="168">
        <f t="shared" si="380"/>
        <v>4592</v>
      </c>
      <c r="L164" s="169">
        <f t="shared" si="381"/>
        <v>5182.4000000000005</v>
      </c>
      <c r="M164" s="170">
        <f t="shared" si="367"/>
        <v>9774.4</v>
      </c>
      <c r="N164" s="165">
        <f t="shared" si="382"/>
        <v>6.8297599999999994</v>
      </c>
      <c r="O164" s="166">
        <f t="shared" si="383"/>
        <v>7.7078720000000001</v>
      </c>
      <c r="P164" s="167">
        <f t="shared" si="368"/>
        <v>14.53</v>
      </c>
      <c r="Q164" s="168">
        <f t="shared" si="369"/>
        <v>5600.4031999999997</v>
      </c>
      <c r="R164" s="169">
        <f t="shared" si="370"/>
        <v>6320.4550399999998</v>
      </c>
      <c r="S164" s="169">
        <f t="shared" si="371"/>
        <v>11920.85</v>
      </c>
      <c r="T164" s="161">
        <f t="shared" si="398"/>
        <v>4.9721516587819268E-3</v>
      </c>
    </row>
    <row r="165" spans="2:20" ht="24.95" customHeight="1" x14ac:dyDescent="0.25">
      <c r="B165" s="162" t="s">
        <v>1495</v>
      </c>
      <c r="C165" s="160" t="s">
        <v>1288</v>
      </c>
      <c r="D165" s="171" t="s">
        <v>267</v>
      </c>
      <c r="E165" s="163" t="s">
        <v>1289</v>
      </c>
      <c r="F165" s="160" t="s">
        <v>35</v>
      </c>
      <c r="G165" s="164">
        <v>1474.9</v>
      </c>
      <c r="H165" s="165">
        <v>25.17</v>
      </c>
      <c r="I165" s="166">
        <v>9.8800000000000008</v>
      </c>
      <c r="J165" s="167">
        <f t="shared" ref="J165" si="409">TRUNC(SUM(H165:I165),2)</f>
        <v>35.049999999999997</v>
      </c>
      <c r="K165" s="168">
        <f t="shared" ref="K165" si="410">+H165*G165</f>
        <v>37123.233000000007</v>
      </c>
      <c r="L165" s="169">
        <f t="shared" ref="L165" si="411">+I165*G165</f>
        <v>14572.012000000002</v>
      </c>
      <c r="M165" s="170">
        <f t="shared" ref="M165" si="412">TRUNC(SUM(K165:L165),2)</f>
        <v>51695.24</v>
      </c>
      <c r="N165" s="165">
        <f t="shared" si="382"/>
        <v>30.697332000000003</v>
      </c>
      <c r="O165" s="166">
        <f t="shared" si="383"/>
        <v>12.049648000000001</v>
      </c>
      <c r="P165" s="167">
        <f t="shared" si="368"/>
        <v>42.74</v>
      </c>
      <c r="Q165" s="168">
        <f t="shared" si="369"/>
        <v>45275.494966800004</v>
      </c>
      <c r="R165" s="169">
        <f t="shared" si="370"/>
        <v>17772.025835200002</v>
      </c>
      <c r="S165" s="169">
        <f t="shared" si="371"/>
        <v>63047.519999999997</v>
      </c>
      <c r="T165" s="161">
        <f t="shared" si="398"/>
        <v>2.6296936137111589E-2</v>
      </c>
    </row>
    <row r="166" spans="2:20" ht="24.95" customHeight="1" x14ac:dyDescent="0.25">
      <c r="B166" s="339" t="s">
        <v>1034</v>
      </c>
      <c r="C166" s="357"/>
      <c r="D166" s="358"/>
      <c r="E166" s="341" t="s">
        <v>1039</v>
      </c>
      <c r="F166" s="340"/>
      <c r="G166" s="356"/>
      <c r="H166" s="347"/>
      <c r="I166" s="348"/>
      <c r="J166" s="349">
        <f t="shared" si="366"/>
        <v>0</v>
      </c>
      <c r="K166" s="393">
        <f>SUM(K167:K178)</f>
        <v>9337.02</v>
      </c>
      <c r="L166" s="393">
        <f>SUM(L167:L178)</f>
        <v>59387.340000000004</v>
      </c>
      <c r="M166" s="393">
        <f>SUM(M167:M178)</f>
        <v>68724.36</v>
      </c>
      <c r="N166" s="394">
        <f t="shared" si="382"/>
        <v>0</v>
      </c>
      <c r="O166" s="348">
        <f t="shared" si="383"/>
        <v>0</v>
      </c>
      <c r="P166" s="349">
        <f t="shared" si="368"/>
        <v>0</v>
      </c>
      <c r="Q166" s="393">
        <f>SUM(Q167:Q178)</f>
        <v>11387.429592</v>
      </c>
      <c r="R166" s="393">
        <f>SUM(R167:R178)</f>
        <v>72428.799864000001</v>
      </c>
      <c r="S166" s="393">
        <f>SUM(S167:S178)</f>
        <v>83816.179999999993</v>
      </c>
      <c r="T166" s="346">
        <f t="shared" si="398"/>
        <v>3.4959483461310607E-2</v>
      </c>
    </row>
    <row r="167" spans="2:20" ht="24.95" customHeight="1" x14ac:dyDescent="0.25">
      <c r="B167" s="162" t="s">
        <v>1036</v>
      </c>
      <c r="C167" s="160" t="s">
        <v>772</v>
      </c>
      <c r="D167" s="171" t="s">
        <v>214</v>
      </c>
      <c r="E167" s="163" t="s">
        <v>773</v>
      </c>
      <c r="F167" s="160" t="s">
        <v>22</v>
      </c>
      <c r="G167" s="164">
        <v>2</v>
      </c>
      <c r="H167" s="416">
        <v>42.01</v>
      </c>
      <c r="I167" s="166">
        <v>2993.06</v>
      </c>
      <c r="J167" s="167">
        <f t="shared" si="366"/>
        <v>3035.07</v>
      </c>
      <c r="K167" s="168">
        <f t="shared" si="380"/>
        <v>84.02</v>
      </c>
      <c r="L167" s="169">
        <f t="shared" si="381"/>
        <v>5986.12</v>
      </c>
      <c r="M167" s="170">
        <f t="shared" si="367"/>
        <v>6070.14</v>
      </c>
      <c r="N167" s="165">
        <f t="shared" si="382"/>
        <v>51.235396000000001</v>
      </c>
      <c r="O167" s="166">
        <f t="shared" si="383"/>
        <v>3650.3359759999998</v>
      </c>
      <c r="P167" s="167">
        <f t="shared" si="368"/>
        <v>3701.57</v>
      </c>
      <c r="Q167" s="168">
        <f t="shared" si="369"/>
        <v>102.470792</v>
      </c>
      <c r="R167" s="169">
        <f t="shared" si="370"/>
        <v>7300.6719519999997</v>
      </c>
      <c r="S167" s="169">
        <f t="shared" si="371"/>
        <v>7403.14</v>
      </c>
      <c r="T167" s="161">
        <f t="shared" si="398"/>
        <v>3.0878280350138485E-3</v>
      </c>
    </row>
    <row r="168" spans="2:20" ht="24.95" customHeight="1" x14ac:dyDescent="0.25">
      <c r="B168" s="162" t="s">
        <v>1243</v>
      </c>
      <c r="C168" s="160" t="s">
        <v>777</v>
      </c>
      <c r="D168" s="171" t="s">
        <v>214</v>
      </c>
      <c r="E168" s="163" t="s">
        <v>778</v>
      </c>
      <c r="F168" s="160" t="s">
        <v>22</v>
      </c>
      <c r="G168" s="164">
        <v>2</v>
      </c>
      <c r="H168" s="416">
        <v>75.459999999999994</v>
      </c>
      <c r="I168" s="166">
        <v>593.45000000000005</v>
      </c>
      <c r="J168" s="167">
        <f t="shared" si="366"/>
        <v>668.91</v>
      </c>
      <c r="K168" s="168">
        <f t="shared" si="380"/>
        <v>150.91999999999999</v>
      </c>
      <c r="L168" s="169">
        <f t="shared" si="381"/>
        <v>1186.9000000000001</v>
      </c>
      <c r="M168" s="170">
        <f t="shared" si="367"/>
        <v>1337.82</v>
      </c>
      <c r="N168" s="165">
        <f t="shared" si="382"/>
        <v>92.031015999999994</v>
      </c>
      <c r="O168" s="166">
        <f t="shared" si="383"/>
        <v>723.7716200000001</v>
      </c>
      <c r="P168" s="167">
        <f t="shared" si="368"/>
        <v>815.8</v>
      </c>
      <c r="Q168" s="168">
        <f t="shared" si="369"/>
        <v>184.06203199999999</v>
      </c>
      <c r="R168" s="169">
        <f t="shared" si="370"/>
        <v>1447.5432400000002</v>
      </c>
      <c r="S168" s="169">
        <f t="shared" si="371"/>
        <v>1631.6</v>
      </c>
      <c r="T168" s="161">
        <f t="shared" si="398"/>
        <v>6.8053558651174966E-4</v>
      </c>
    </row>
    <row r="169" spans="2:20" ht="24.95" customHeight="1" x14ac:dyDescent="0.25">
      <c r="B169" s="162" t="s">
        <v>1244</v>
      </c>
      <c r="C169" s="160" t="s">
        <v>776</v>
      </c>
      <c r="D169" s="171" t="s">
        <v>125</v>
      </c>
      <c r="E169" s="163" t="s">
        <v>562</v>
      </c>
      <c r="F169" s="160" t="s">
        <v>245</v>
      </c>
      <c r="G169" s="164">
        <v>2</v>
      </c>
      <c r="H169" s="416">
        <v>5.92</v>
      </c>
      <c r="I169" s="166">
        <v>516.27</v>
      </c>
      <c r="J169" s="167">
        <f t="shared" si="366"/>
        <v>522.19000000000005</v>
      </c>
      <c r="K169" s="168">
        <f t="shared" si="380"/>
        <v>11.84</v>
      </c>
      <c r="L169" s="169">
        <f t="shared" si="381"/>
        <v>1032.54</v>
      </c>
      <c r="M169" s="170">
        <f t="shared" si="367"/>
        <v>1044.3800000000001</v>
      </c>
      <c r="N169" s="165">
        <f t="shared" si="382"/>
        <v>7.2200319999999998</v>
      </c>
      <c r="O169" s="166">
        <f t="shared" si="383"/>
        <v>629.64289199999996</v>
      </c>
      <c r="P169" s="167">
        <f t="shared" si="368"/>
        <v>636.86</v>
      </c>
      <c r="Q169" s="168">
        <f t="shared" si="369"/>
        <v>14.440064</v>
      </c>
      <c r="R169" s="169">
        <f t="shared" si="370"/>
        <v>1259.2857839999999</v>
      </c>
      <c r="S169" s="169">
        <f t="shared" si="371"/>
        <v>1273.72</v>
      </c>
      <c r="T169" s="161">
        <f t="shared" si="398"/>
        <v>5.3126488554286954E-4</v>
      </c>
    </row>
    <row r="170" spans="2:20" ht="24.95" customHeight="1" x14ac:dyDescent="0.25">
      <c r="B170" s="162" t="s">
        <v>1245</v>
      </c>
      <c r="C170" s="160" t="s">
        <v>779</v>
      </c>
      <c r="D170" s="171" t="s">
        <v>214</v>
      </c>
      <c r="E170" s="163" t="s">
        <v>780</v>
      </c>
      <c r="F170" s="160" t="s">
        <v>22</v>
      </c>
      <c r="G170" s="164">
        <v>24</v>
      </c>
      <c r="H170" s="416">
        <v>2.5499999999999998</v>
      </c>
      <c r="I170" s="166">
        <v>64.91</v>
      </c>
      <c r="J170" s="167">
        <f t="shared" si="366"/>
        <v>67.459999999999994</v>
      </c>
      <c r="K170" s="168">
        <f t="shared" si="380"/>
        <v>61.199999999999996</v>
      </c>
      <c r="L170" s="169">
        <f t="shared" si="381"/>
        <v>1557.84</v>
      </c>
      <c r="M170" s="170">
        <f t="shared" si="367"/>
        <v>1619.04</v>
      </c>
      <c r="N170" s="165">
        <f t="shared" si="382"/>
        <v>3.1099799999999997</v>
      </c>
      <c r="O170" s="166">
        <f t="shared" si="383"/>
        <v>79.164236000000002</v>
      </c>
      <c r="P170" s="167">
        <f t="shared" si="368"/>
        <v>82.27</v>
      </c>
      <c r="Q170" s="168">
        <f t="shared" si="369"/>
        <v>74.63951999999999</v>
      </c>
      <c r="R170" s="169">
        <f t="shared" si="370"/>
        <v>1899.9416639999999</v>
      </c>
      <c r="S170" s="169">
        <f t="shared" si="371"/>
        <v>1974.58</v>
      </c>
      <c r="T170" s="161">
        <f t="shared" si="398"/>
        <v>8.2359154107279403E-4</v>
      </c>
    </row>
    <row r="171" spans="2:20" ht="24.95" customHeight="1" x14ac:dyDescent="0.25">
      <c r="B171" s="162" t="s">
        <v>1470</v>
      </c>
      <c r="C171" s="160" t="s">
        <v>781</v>
      </c>
      <c r="D171" s="171" t="s">
        <v>31</v>
      </c>
      <c r="E171" s="163" t="s">
        <v>782</v>
      </c>
      <c r="F171" s="160" t="s">
        <v>22</v>
      </c>
      <c r="G171" s="164">
        <v>24</v>
      </c>
      <c r="H171" s="416">
        <v>183.89</v>
      </c>
      <c r="I171" s="166">
        <v>716.38</v>
      </c>
      <c r="J171" s="167">
        <f t="shared" si="366"/>
        <v>900.27</v>
      </c>
      <c r="K171" s="168">
        <f t="shared" si="380"/>
        <v>4413.3599999999997</v>
      </c>
      <c r="L171" s="169">
        <f t="shared" si="381"/>
        <v>17193.12</v>
      </c>
      <c r="M171" s="170">
        <f t="shared" si="367"/>
        <v>21606.48</v>
      </c>
      <c r="N171" s="165">
        <f t="shared" si="382"/>
        <v>224.272244</v>
      </c>
      <c r="O171" s="166">
        <f t="shared" si="383"/>
        <v>873.697048</v>
      </c>
      <c r="P171" s="167">
        <f t="shared" si="368"/>
        <v>1097.96</v>
      </c>
      <c r="Q171" s="168">
        <f t="shared" si="369"/>
        <v>5382.533856</v>
      </c>
      <c r="R171" s="169">
        <f t="shared" si="370"/>
        <v>20968.729152</v>
      </c>
      <c r="S171" s="169">
        <f t="shared" si="371"/>
        <v>26351.26</v>
      </c>
      <c r="T171" s="161">
        <f t="shared" si="398"/>
        <v>1.099103345147316E-2</v>
      </c>
    </row>
    <row r="172" spans="2:20" ht="24.95" customHeight="1" x14ac:dyDescent="0.25">
      <c r="B172" s="162" t="s">
        <v>1246</v>
      </c>
      <c r="C172" s="160" t="s">
        <v>783</v>
      </c>
      <c r="D172" s="171" t="s">
        <v>214</v>
      </c>
      <c r="E172" s="163" t="s">
        <v>784</v>
      </c>
      <c r="F172" s="160" t="s">
        <v>22</v>
      </c>
      <c r="G172" s="164">
        <v>2</v>
      </c>
      <c r="H172" s="416">
        <v>2.5499999999999998</v>
      </c>
      <c r="I172" s="166">
        <v>96.64</v>
      </c>
      <c r="J172" s="167">
        <f t="shared" si="366"/>
        <v>99.19</v>
      </c>
      <c r="K172" s="168">
        <f t="shared" si="380"/>
        <v>5.0999999999999996</v>
      </c>
      <c r="L172" s="169">
        <f t="shared" si="381"/>
        <v>193.28</v>
      </c>
      <c r="M172" s="170">
        <f t="shared" si="367"/>
        <v>198.38</v>
      </c>
      <c r="N172" s="165">
        <f t="shared" si="382"/>
        <v>3.1099799999999997</v>
      </c>
      <c r="O172" s="166">
        <f t="shared" si="383"/>
        <v>117.862144</v>
      </c>
      <c r="P172" s="167">
        <f t="shared" si="368"/>
        <v>120.97</v>
      </c>
      <c r="Q172" s="168">
        <f t="shared" si="369"/>
        <v>6.2199599999999995</v>
      </c>
      <c r="R172" s="169">
        <f t="shared" si="370"/>
        <v>235.724288</v>
      </c>
      <c r="S172" s="169">
        <f t="shared" si="371"/>
        <v>241.94</v>
      </c>
      <c r="T172" s="161">
        <f t="shared" si="398"/>
        <v>1.0091246616857852E-4</v>
      </c>
    </row>
    <row r="173" spans="2:20" ht="24.95" customHeight="1" x14ac:dyDescent="0.25">
      <c r="B173" s="162" t="s">
        <v>1496</v>
      </c>
      <c r="C173" s="160">
        <v>59252</v>
      </c>
      <c r="D173" s="171" t="s">
        <v>214</v>
      </c>
      <c r="E173" s="163" t="s">
        <v>1358</v>
      </c>
      <c r="F173" s="160" t="s">
        <v>22</v>
      </c>
      <c r="G173" s="164">
        <v>6</v>
      </c>
      <c r="H173" s="416">
        <v>61.15</v>
      </c>
      <c r="I173" s="166">
        <v>1073.4000000000001</v>
      </c>
      <c r="J173" s="167">
        <f t="shared" ref="J173" si="413">TRUNC(SUM(H173:I173),2)</f>
        <v>1134.55</v>
      </c>
      <c r="K173" s="168">
        <f t="shared" ref="K173" si="414">+H173*G173</f>
        <v>366.9</v>
      </c>
      <c r="L173" s="169">
        <f t="shared" ref="L173" si="415">+I173*G173</f>
        <v>6440.4000000000005</v>
      </c>
      <c r="M173" s="170">
        <f t="shared" ref="M173" si="416">TRUNC(SUM(K173:L173),2)</f>
        <v>6807.3</v>
      </c>
      <c r="N173" s="165">
        <f t="shared" ref="N173" si="417">+H173*(1+$T$10)</f>
        <v>74.578540000000004</v>
      </c>
      <c r="O173" s="166">
        <f t="shared" ref="O173" si="418">+I173*(1+$T$10)</f>
        <v>1309.1186400000001</v>
      </c>
      <c r="P173" s="167">
        <f t="shared" ref="P173" si="419">TRUNC(SUM(N173:O173),2)</f>
        <v>1383.69</v>
      </c>
      <c r="Q173" s="168">
        <f t="shared" ref="Q173" si="420">+N173*G173</f>
        <v>447.47124000000002</v>
      </c>
      <c r="R173" s="169">
        <f t="shared" ref="R173" si="421">+O173*G173</f>
        <v>7854.7118400000008</v>
      </c>
      <c r="S173" s="169">
        <f t="shared" ref="S173" si="422">TRUNC(SUM(Q173:R173),2)</f>
        <v>8302.18</v>
      </c>
      <c r="T173" s="161">
        <f t="shared" si="398"/>
        <v>3.4628149887387339E-3</v>
      </c>
    </row>
    <row r="174" spans="2:20" ht="24.95" customHeight="1" x14ac:dyDescent="0.25">
      <c r="B174" s="162" t="s">
        <v>1497</v>
      </c>
      <c r="C174" s="160" t="s">
        <v>1041</v>
      </c>
      <c r="D174" s="171" t="s">
        <v>125</v>
      </c>
      <c r="E174" s="163" t="s">
        <v>1042</v>
      </c>
      <c r="F174" s="160" t="s">
        <v>22</v>
      </c>
      <c r="G174" s="164">
        <v>2</v>
      </c>
      <c r="H174" s="416">
        <v>2.95</v>
      </c>
      <c r="I174" s="166">
        <v>111.38</v>
      </c>
      <c r="J174" s="167">
        <f t="shared" si="366"/>
        <v>114.33</v>
      </c>
      <c r="K174" s="168">
        <f t="shared" si="380"/>
        <v>5.9</v>
      </c>
      <c r="L174" s="169">
        <f t="shared" si="381"/>
        <v>222.76</v>
      </c>
      <c r="M174" s="170">
        <f t="shared" si="367"/>
        <v>228.66</v>
      </c>
      <c r="N174" s="165">
        <f t="shared" si="382"/>
        <v>3.5978200000000005</v>
      </c>
      <c r="O174" s="166">
        <f t="shared" si="383"/>
        <v>135.83904799999999</v>
      </c>
      <c r="P174" s="167">
        <f t="shared" si="368"/>
        <v>139.43</v>
      </c>
      <c r="Q174" s="168">
        <f t="shared" si="369"/>
        <v>7.1956400000000009</v>
      </c>
      <c r="R174" s="169">
        <f t="shared" si="370"/>
        <v>271.67809599999998</v>
      </c>
      <c r="S174" s="169">
        <f t="shared" si="371"/>
        <v>278.87</v>
      </c>
      <c r="T174" s="161">
        <f t="shared" si="398"/>
        <v>1.1631586112437585E-4</v>
      </c>
    </row>
    <row r="175" spans="2:20" ht="24.95" customHeight="1" x14ac:dyDescent="0.25">
      <c r="B175" s="162" t="s">
        <v>1498</v>
      </c>
      <c r="C175" s="160" t="s">
        <v>1043</v>
      </c>
      <c r="D175" s="171" t="s">
        <v>905</v>
      </c>
      <c r="E175" s="163" t="s">
        <v>1044</v>
      </c>
      <c r="F175" s="160" t="s">
        <v>847</v>
      </c>
      <c r="G175" s="164">
        <v>576</v>
      </c>
      <c r="H175" s="416">
        <v>4</v>
      </c>
      <c r="I175" s="166">
        <v>22.12</v>
      </c>
      <c r="J175" s="167">
        <f t="shared" si="366"/>
        <v>26.12</v>
      </c>
      <c r="K175" s="168">
        <f t="shared" si="380"/>
        <v>2304</v>
      </c>
      <c r="L175" s="169">
        <f t="shared" si="381"/>
        <v>12741.12</v>
      </c>
      <c r="M175" s="170">
        <f t="shared" si="367"/>
        <v>15045.12</v>
      </c>
      <c r="N175" s="165">
        <f t="shared" si="382"/>
        <v>4.8784000000000001</v>
      </c>
      <c r="O175" s="166">
        <f t="shared" si="383"/>
        <v>26.977552000000003</v>
      </c>
      <c r="P175" s="167">
        <f t="shared" si="368"/>
        <v>31.85</v>
      </c>
      <c r="Q175" s="168">
        <f t="shared" si="369"/>
        <v>2809.9584</v>
      </c>
      <c r="R175" s="169">
        <f t="shared" si="370"/>
        <v>15539.069952000002</v>
      </c>
      <c r="S175" s="169">
        <f t="shared" si="371"/>
        <v>18349.02</v>
      </c>
      <c r="T175" s="161">
        <f t="shared" si="398"/>
        <v>7.6533225592153873E-3</v>
      </c>
    </row>
    <row r="176" spans="2:20" ht="24.95" customHeight="1" x14ac:dyDescent="0.25">
      <c r="B176" s="162" t="s">
        <v>1499</v>
      </c>
      <c r="C176" s="160" t="s">
        <v>1045</v>
      </c>
      <c r="D176" s="171" t="s">
        <v>267</v>
      </c>
      <c r="E176" s="163" t="s">
        <v>1046</v>
      </c>
      <c r="F176" s="160" t="s">
        <v>22</v>
      </c>
      <c r="G176" s="164">
        <v>288</v>
      </c>
      <c r="H176" s="416">
        <v>6.29</v>
      </c>
      <c r="I176" s="166">
        <v>36.89</v>
      </c>
      <c r="J176" s="167">
        <f t="shared" si="366"/>
        <v>43.18</v>
      </c>
      <c r="K176" s="168">
        <f t="shared" si="380"/>
        <v>1811.52</v>
      </c>
      <c r="L176" s="169">
        <f t="shared" si="381"/>
        <v>10624.32</v>
      </c>
      <c r="M176" s="170">
        <f t="shared" si="367"/>
        <v>12435.84</v>
      </c>
      <c r="N176" s="165">
        <f t="shared" si="382"/>
        <v>7.671284</v>
      </c>
      <c r="O176" s="166">
        <f t="shared" si="383"/>
        <v>44.991044000000002</v>
      </c>
      <c r="P176" s="167">
        <f t="shared" si="368"/>
        <v>52.66</v>
      </c>
      <c r="Q176" s="168">
        <f t="shared" si="369"/>
        <v>2209.329792</v>
      </c>
      <c r="R176" s="169">
        <f t="shared" si="370"/>
        <v>12957.420672</v>
      </c>
      <c r="S176" s="169">
        <f t="shared" si="371"/>
        <v>15166.75</v>
      </c>
      <c r="T176" s="161">
        <f t="shared" si="398"/>
        <v>6.326007052419147E-3</v>
      </c>
    </row>
    <row r="177" spans="2:20" ht="24.95" customHeight="1" x14ac:dyDescent="0.25">
      <c r="B177" s="162" t="s">
        <v>1500</v>
      </c>
      <c r="C177" s="160" t="s">
        <v>1251</v>
      </c>
      <c r="D177" s="171" t="s">
        <v>125</v>
      </c>
      <c r="E177" s="163" t="s">
        <v>1252</v>
      </c>
      <c r="F177" s="160" t="s">
        <v>22</v>
      </c>
      <c r="G177" s="164">
        <v>30</v>
      </c>
      <c r="H177" s="416">
        <v>2.95</v>
      </c>
      <c r="I177" s="166">
        <v>7.15</v>
      </c>
      <c r="J177" s="167">
        <f t="shared" ref="J177" si="423">TRUNC(SUM(H177:I177),2)</f>
        <v>10.1</v>
      </c>
      <c r="K177" s="168">
        <f t="shared" ref="K177" si="424">+H177*G177</f>
        <v>88.5</v>
      </c>
      <c r="L177" s="169">
        <f t="shared" ref="L177" si="425">+I177*G177</f>
        <v>214.5</v>
      </c>
      <c r="M177" s="170">
        <f t="shared" ref="M177" si="426">TRUNC(SUM(K177:L177),2)</f>
        <v>303</v>
      </c>
      <c r="N177" s="165">
        <f t="shared" ref="N177" si="427">+H177*(1+$T$10)</f>
        <v>3.5978200000000005</v>
      </c>
      <c r="O177" s="166">
        <f t="shared" ref="O177" si="428">+I177*(1+$T$10)</f>
        <v>8.7201400000000007</v>
      </c>
      <c r="P177" s="167">
        <f t="shared" ref="P177" si="429">TRUNC(SUM(N177:O177),2)</f>
        <v>12.31</v>
      </c>
      <c r="Q177" s="168">
        <f t="shared" ref="Q177" si="430">+N177*G177</f>
        <v>107.93460000000002</v>
      </c>
      <c r="R177" s="169">
        <f t="shared" ref="R177" si="431">+O177*G177</f>
        <v>261.60419999999999</v>
      </c>
      <c r="S177" s="169">
        <f t="shared" ref="S177" si="432">TRUNC(SUM(Q177:R177),2)</f>
        <v>369.53</v>
      </c>
      <c r="T177" s="161">
        <f t="shared" si="398"/>
        <v>1.5412988188507408E-4</v>
      </c>
    </row>
    <row r="178" spans="2:20" ht="24.95" customHeight="1" x14ac:dyDescent="0.25">
      <c r="B178" s="162" t="s">
        <v>1501</v>
      </c>
      <c r="C178" s="160" t="s">
        <v>1282</v>
      </c>
      <c r="D178" s="160" t="s">
        <v>125</v>
      </c>
      <c r="E178" s="209" t="s">
        <v>1283</v>
      </c>
      <c r="F178" s="203" t="s">
        <v>22</v>
      </c>
      <c r="G178" s="204">
        <v>2</v>
      </c>
      <c r="H178" s="417">
        <v>16.88</v>
      </c>
      <c r="I178" s="418">
        <v>997.22</v>
      </c>
      <c r="J178" s="167">
        <f t="shared" ref="J178" si="433">TRUNC(SUM(H178:I178),2)</f>
        <v>1014.1</v>
      </c>
      <c r="K178" s="168">
        <f t="shared" ref="K178" si="434">+H178*G178</f>
        <v>33.76</v>
      </c>
      <c r="L178" s="169">
        <f t="shared" ref="L178" si="435">+I178*G178</f>
        <v>1994.44</v>
      </c>
      <c r="M178" s="170">
        <f t="shared" ref="M178" si="436">TRUNC(SUM(K178:L178),2)</f>
        <v>2028.2</v>
      </c>
      <c r="N178" s="165">
        <f t="shared" ref="N178" si="437">+H178*(1+$T$10)</f>
        <v>20.586848</v>
      </c>
      <c r="O178" s="166">
        <f t="shared" ref="O178" si="438">+I178*(1+$T$10)</f>
        <v>1216.2095120000001</v>
      </c>
      <c r="P178" s="167">
        <f t="shared" ref="P178" si="439">TRUNC(SUM(N178:O178),2)</f>
        <v>1236.79</v>
      </c>
      <c r="Q178" s="168">
        <f t="shared" ref="Q178" si="440">+N178*G178</f>
        <v>41.173696</v>
      </c>
      <c r="R178" s="169">
        <f t="shared" ref="R178" si="441">+O178*G178</f>
        <v>2432.4190240000003</v>
      </c>
      <c r="S178" s="169">
        <f t="shared" ref="S178" si="442">TRUNC(SUM(Q178:R178),2)</f>
        <v>2473.59</v>
      </c>
      <c r="T178" s="161">
        <f t="shared" si="398"/>
        <v>1.0317271521448879E-3</v>
      </c>
    </row>
    <row r="179" spans="2:20" ht="24.95" customHeight="1" x14ac:dyDescent="0.25">
      <c r="B179" s="339" t="s">
        <v>1038</v>
      </c>
      <c r="C179" s="357"/>
      <c r="D179" s="358"/>
      <c r="E179" s="341" t="s">
        <v>1047</v>
      </c>
      <c r="F179" s="340"/>
      <c r="G179" s="356"/>
      <c r="H179" s="347"/>
      <c r="I179" s="348"/>
      <c r="J179" s="349">
        <f t="shared" ref="J179:J180" si="443">TRUNC(SUM(H179:I179),2)</f>
        <v>0</v>
      </c>
      <c r="K179" s="393">
        <f>SUM(K180:K191)</f>
        <v>25164.9</v>
      </c>
      <c r="L179" s="393">
        <f>SUM(L180:L191)</f>
        <v>168638.49</v>
      </c>
      <c r="M179" s="393">
        <f>SUM(M180:M191)</f>
        <v>193803.38999999998</v>
      </c>
      <c r="N179" s="394">
        <f t="shared" ref="N179:N180" si="444">+H179*(1+$T$10)</f>
        <v>0</v>
      </c>
      <c r="O179" s="348">
        <f t="shared" ref="O179:O180" si="445">+I179*(1+$T$10)</f>
        <v>0</v>
      </c>
      <c r="P179" s="349">
        <f t="shared" ref="P179:P180" si="446">TRUNC(SUM(N179:O179),2)</f>
        <v>0</v>
      </c>
      <c r="Q179" s="393">
        <f>SUM(Q180:Q191)</f>
        <v>30691.112039999996</v>
      </c>
      <c r="R179" s="393">
        <f>SUM(R180:R191)</f>
        <v>205671.50240400003</v>
      </c>
      <c r="S179" s="393">
        <f>SUM(S180:S191)</f>
        <v>236362.55</v>
      </c>
      <c r="T179" s="346">
        <f t="shared" si="398"/>
        <v>9.8586128091237291E-2</v>
      </c>
    </row>
    <row r="180" spans="2:20" ht="24.95" customHeight="1" x14ac:dyDescent="0.25">
      <c r="B180" s="205" t="s">
        <v>1040</v>
      </c>
      <c r="C180" s="160" t="s">
        <v>1049</v>
      </c>
      <c r="D180" s="160" t="s">
        <v>214</v>
      </c>
      <c r="E180" s="209" t="s">
        <v>1050</v>
      </c>
      <c r="F180" s="203" t="s">
        <v>22</v>
      </c>
      <c r="G180" s="440">
        <v>9</v>
      </c>
      <c r="H180" s="424">
        <v>42.01</v>
      </c>
      <c r="I180" s="203">
        <v>1591.16</v>
      </c>
      <c r="J180" s="167">
        <f t="shared" si="443"/>
        <v>1633.17</v>
      </c>
      <c r="K180" s="425">
        <f>+H180*G180</f>
        <v>378.09</v>
      </c>
      <c r="L180" s="169">
        <f t="shared" ref="L180" si="447">+I180*G180</f>
        <v>14320.44</v>
      </c>
      <c r="M180" s="438">
        <f t="shared" ref="M180" si="448">TRUNC(SUM(K180:L180),2)</f>
        <v>14698.53</v>
      </c>
      <c r="N180" s="165">
        <f t="shared" si="444"/>
        <v>51.235396000000001</v>
      </c>
      <c r="O180" s="166">
        <f t="shared" si="445"/>
        <v>1940.5787360000002</v>
      </c>
      <c r="P180" s="167">
        <f t="shared" si="446"/>
        <v>1991.81</v>
      </c>
      <c r="Q180" s="168">
        <f t="shared" ref="Q180" si="449">+N180*G180</f>
        <v>461.11856399999999</v>
      </c>
      <c r="R180" s="169">
        <f t="shared" ref="R180" si="450">+O180*G180</f>
        <v>17465.208624000003</v>
      </c>
      <c r="S180" s="169">
        <f t="shared" ref="S180" si="451">TRUNC(SUM(Q180:R180),2)</f>
        <v>17926.32</v>
      </c>
      <c r="T180" s="439">
        <f t="shared" si="398"/>
        <v>7.4770156258870488E-3</v>
      </c>
    </row>
    <row r="181" spans="2:20" ht="24.95" customHeight="1" x14ac:dyDescent="0.25">
      <c r="B181" s="205" t="s">
        <v>1471</v>
      </c>
      <c r="C181" s="160">
        <v>59251</v>
      </c>
      <c r="D181" s="160" t="s">
        <v>214</v>
      </c>
      <c r="E181" s="209" t="s">
        <v>778</v>
      </c>
      <c r="F181" s="203" t="s">
        <v>22</v>
      </c>
      <c r="G181" s="440">
        <v>9</v>
      </c>
      <c r="H181" s="205">
        <v>75.459999999999994</v>
      </c>
      <c r="I181" s="203">
        <v>593.45000000000005</v>
      </c>
      <c r="J181" s="167">
        <f t="shared" ref="J181:J209" si="452">TRUNC(SUM(H181:I181),2)</f>
        <v>668.91</v>
      </c>
      <c r="K181" s="168">
        <f t="shared" ref="K181:K209" si="453">+H181*G181</f>
        <v>679.14</v>
      </c>
      <c r="L181" s="169">
        <f t="shared" ref="L181:L209" si="454">+I181*G181</f>
        <v>5341.05</v>
      </c>
      <c r="M181" s="438">
        <f t="shared" ref="M181:M209" si="455">TRUNC(SUM(K181:L181),2)</f>
        <v>6020.19</v>
      </c>
      <c r="N181" s="165">
        <f t="shared" ref="N181:N209" si="456">+H181*(1+$T$10)</f>
        <v>92.031015999999994</v>
      </c>
      <c r="O181" s="166">
        <f t="shared" ref="O181:O209" si="457">+I181*(1+$T$10)</f>
        <v>723.7716200000001</v>
      </c>
      <c r="P181" s="167">
        <f t="shared" ref="P181:P209" si="458">TRUNC(SUM(N181:O181),2)</f>
        <v>815.8</v>
      </c>
      <c r="Q181" s="168">
        <f t="shared" ref="Q181:Q209" si="459">+N181*G181</f>
        <v>828.27914399999997</v>
      </c>
      <c r="R181" s="169">
        <f t="shared" ref="R181:R209" si="460">+O181*G181</f>
        <v>6513.9445800000012</v>
      </c>
      <c r="S181" s="169">
        <f t="shared" ref="S181:S209" si="461">TRUNC(SUM(Q181:R181),2)</f>
        <v>7342.22</v>
      </c>
      <c r="T181" s="439">
        <f t="shared" si="398"/>
        <v>3.0624184812443611E-3</v>
      </c>
    </row>
    <row r="182" spans="2:20" ht="24.95" customHeight="1" x14ac:dyDescent="0.25">
      <c r="B182" s="205" t="s">
        <v>1472</v>
      </c>
      <c r="C182" s="160" t="s">
        <v>776</v>
      </c>
      <c r="D182" s="160" t="s">
        <v>125</v>
      </c>
      <c r="E182" s="209" t="s">
        <v>562</v>
      </c>
      <c r="F182" s="203" t="s">
        <v>245</v>
      </c>
      <c r="G182" s="440">
        <v>9</v>
      </c>
      <c r="H182" s="205">
        <v>5.92</v>
      </c>
      <c r="I182" s="203">
        <v>516.27</v>
      </c>
      <c r="J182" s="167">
        <f t="shared" si="452"/>
        <v>522.19000000000005</v>
      </c>
      <c r="K182" s="168">
        <f t="shared" si="453"/>
        <v>53.28</v>
      </c>
      <c r="L182" s="169">
        <f t="shared" si="454"/>
        <v>4646.43</v>
      </c>
      <c r="M182" s="438">
        <f t="shared" si="455"/>
        <v>4699.71</v>
      </c>
      <c r="N182" s="165">
        <f t="shared" si="456"/>
        <v>7.2200319999999998</v>
      </c>
      <c r="O182" s="166">
        <f t="shared" si="457"/>
        <v>629.64289199999996</v>
      </c>
      <c r="P182" s="167">
        <f t="shared" si="458"/>
        <v>636.86</v>
      </c>
      <c r="Q182" s="168">
        <f t="shared" si="459"/>
        <v>64.980288000000002</v>
      </c>
      <c r="R182" s="169">
        <f t="shared" si="460"/>
        <v>5666.7860279999995</v>
      </c>
      <c r="S182" s="169">
        <f t="shared" si="461"/>
        <v>5731.76</v>
      </c>
      <c r="T182" s="439">
        <f t="shared" si="398"/>
        <v>2.3907003268843997E-3</v>
      </c>
    </row>
    <row r="183" spans="2:20" ht="24.95" customHeight="1" x14ac:dyDescent="0.25">
      <c r="B183" s="205" t="s">
        <v>1473</v>
      </c>
      <c r="C183" s="160" t="s">
        <v>779</v>
      </c>
      <c r="D183" s="160" t="s">
        <v>214</v>
      </c>
      <c r="E183" s="209" t="s">
        <v>780</v>
      </c>
      <c r="F183" s="203" t="s">
        <v>22</v>
      </c>
      <c r="G183" s="440">
        <v>72</v>
      </c>
      <c r="H183" s="205">
        <v>2.5499999999999998</v>
      </c>
      <c r="I183" s="203">
        <v>64.91</v>
      </c>
      <c r="J183" s="167">
        <f t="shared" si="452"/>
        <v>67.459999999999994</v>
      </c>
      <c r="K183" s="168">
        <f t="shared" si="453"/>
        <v>183.6</v>
      </c>
      <c r="L183" s="169">
        <f t="shared" si="454"/>
        <v>4673.5199999999995</v>
      </c>
      <c r="M183" s="438">
        <f t="shared" si="455"/>
        <v>4857.12</v>
      </c>
      <c r="N183" s="165">
        <f t="shared" si="456"/>
        <v>3.1099799999999997</v>
      </c>
      <c r="O183" s="166">
        <f t="shared" si="457"/>
        <v>79.164236000000002</v>
      </c>
      <c r="P183" s="167">
        <f t="shared" si="458"/>
        <v>82.27</v>
      </c>
      <c r="Q183" s="168">
        <f t="shared" si="459"/>
        <v>223.91855999999999</v>
      </c>
      <c r="R183" s="169">
        <f t="shared" si="460"/>
        <v>5699.8249919999998</v>
      </c>
      <c r="S183" s="169">
        <f t="shared" si="461"/>
        <v>5923.74</v>
      </c>
      <c r="T183" s="439">
        <f t="shared" si="398"/>
        <v>2.4707746232183821E-3</v>
      </c>
    </row>
    <row r="184" spans="2:20" ht="24.95" customHeight="1" x14ac:dyDescent="0.25">
      <c r="B184" s="205" t="s">
        <v>1474</v>
      </c>
      <c r="C184" s="160" t="s">
        <v>781</v>
      </c>
      <c r="D184" s="160" t="s">
        <v>31</v>
      </c>
      <c r="E184" s="209" t="s">
        <v>782</v>
      </c>
      <c r="F184" s="203" t="s">
        <v>22</v>
      </c>
      <c r="G184" s="440">
        <v>54</v>
      </c>
      <c r="H184" s="205">
        <v>183.89</v>
      </c>
      <c r="I184" s="203">
        <v>716.38</v>
      </c>
      <c r="J184" s="167">
        <f t="shared" si="452"/>
        <v>900.27</v>
      </c>
      <c r="K184" s="168">
        <f t="shared" si="453"/>
        <v>9930.06</v>
      </c>
      <c r="L184" s="169">
        <f t="shared" si="454"/>
        <v>38684.519999999997</v>
      </c>
      <c r="M184" s="438">
        <f t="shared" si="455"/>
        <v>48614.58</v>
      </c>
      <c r="N184" s="165">
        <f t="shared" si="456"/>
        <v>224.272244</v>
      </c>
      <c r="O184" s="166">
        <f t="shared" si="457"/>
        <v>873.697048</v>
      </c>
      <c r="P184" s="167">
        <f t="shared" si="458"/>
        <v>1097.96</v>
      </c>
      <c r="Q184" s="168">
        <f t="shared" si="459"/>
        <v>12110.701176</v>
      </c>
      <c r="R184" s="169">
        <f t="shared" si="460"/>
        <v>47179.640591999996</v>
      </c>
      <c r="S184" s="169">
        <f t="shared" si="461"/>
        <v>59290.34</v>
      </c>
      <c r="T184" s="439">
        <f t="shared" si="398"/>
        <v>2.4729827351299985E-2</v>
      </c>
    </row>
    <row r="185" spans="2:20" ht="24.95" customHeight="1" x14ac:dyDescent="0.25">
      <c r="B185" s="205" t="s">
        <v>1475</v>
      </c>
      <c r="C185" s="160" t="s">
        <v>783</v>
      </c>
      <c r="D185" s="160" t="s">
        <v>214</v>
      </c>
      <c r="E185" s="209" t="s">
        <v>784</v>
      </c>
      <c r="F185" s="203" t="s">
        <v>22</v>
      </c>
      <c r="G185" s="440">
        <v>9</v>
      </c>
      <c r="H185" s="205">
        <v>2.5499999999999998</v>
      </c>
      <c r="I185" s="203">
        <v>96.64</v>
      </c>
      <c r="J185" s="167">
        <f t="shared" si="452"/>
        <v>99.19</v>
      </c>
      <c r="K185" s="168">
        <f t="shared" si="453"/>
        <v>22.95</v>
      </c>
      <c r="L185" s="169">
        <f t="shared" si="454"/>
        <v>869.76</v>
      </c>
      <c r="M185" s="438">
        <f t="shared" si="455"/>
        <v>892.71</v>
      </c>
      <c r="N185" s="165">
        <f t="shared" si="456"/>
        <v>3.1099799999999997</v>
      </c>
      <c r="O185" s="166">
        <f t="shared" si="457"/>
        <v>117.862144</v>
      </c>
      <c r="P185" s="167">
        <f t="shared" si="458"/>
        <v>120.97</v>
      </c>
      <c r="Q185" s="168">
        <f t="shared" si="459"/>
        <v>27.989819999999998</v>
      </c>
      <c r="R185" s="169">
        <f t="shared" si="460"/>
        <v>1060.7592959999999</v>
      </c>
      <c r="S185" s="169">
        <f t="shared" si="461"/>
        <v>1088.74</v>
      </c>
      <c r="T185" s="439">
        <f t="shared" si="398"/>
        <v>4.5411026872934691E-4</v>
      </c>
    </row>
    <row r="186" spans="2:20" ht="24.95" customHeight="1" x14ac:dyDescent="0.25">
      <c r="B186" s="205" t="s">
        <v>1359</v>
      </c>
      <c r="C186" s="160">
        <v>59252</v>
      </c>
      <c r="D186" s="171" t="s">
        <v>214</v>
      </c>
      <c r="E186" s="163" t="s">
        <v>1358</v>
      </c>
      <c r="F186" s="160" t="s">
        <v>22</v>
      </c>
      <c r="G186" s="437">
        <v>18</v>
      </c>
      <c r="H186" s="427">
        <v>61.15</v>
      </c>
      <c r="I186" s="428">
        <v>1073.4000000000001</v>
      </c>
      <c r="J186" s="167">
        <f t="shared" ref="J186" si="462">TRUNC(SUM(H186:I186),2)</f>
        <v>1134.55</v>
      </c>
      <c r="K186" s="168">
        <f t="shared" ref="K186" si="463">+H186*G186</f>
        <v>1100.7</v>
      </c>
      <c r="L186" s="169">
        <f t="shared" ref="L186" si="464">+I186*G186</f>
        <v>19321.2</v>
      </c>
      <c r="M186" s="438">
        <f t="shared" ref="M186" si="465">TRUNC(SUM(K186:L186),2)</f>
        <v>20421.900000000001</v>
      </c>
      <c r="N186" s="165">
        <f t="shared" ref="N186" si="466">+H186*(1+$T$10)</f>
        <v>74.578540000000004</v>
      </c>
      <c r="O186" s="166">
        <f t="shared" ref="O186" si="467">+I186*(1+$T$10)</f>
        <v>1309.1186400000001</v>
      </c>
      <c r="P186" s="167">
        <f t="shared" ref="P186" si="468">TRUNC(SUM(N186:O186),2)</f>
        <v>1383.69</v>
      </c>
      <c r="Q186" s="168">
        <f t="shared" ref="Q186" si="469">+N186*G186</f>
        <v>1342.41372</v>
      </c>
      <c r="R186" s="169">
        <f t="shared" ref="R186" si="470">+O186*G186</f>
        <v>23564.135520000003</v>
      </c>
      <c r="S186" s="169">
        <f t="shared" ref="S186" si="471">TRUNC(SUM(Q186:R186),2)</f>
        <v>24906.54</v>
      </c>
      <c r="T186" s="439">
        <f t="shared" si="398"/>
        <v>1.0388444966216203E-2</v>
      </c>
    </row>
    <row r="187" spans="2:20" ht="24.95" customHeight="1" x14ac:dyDescent="0.25">
      <c r="B187" s="205" t="s">
        <v>1476</v>
      </c>
      <c r="C187" s="160" t="s">
        <v>1041</v>
      </c>
      <c r="D187" s="160" t="s">
        <v>125</v>
      </c>
      <c r="E187" s="209" t="s">
        <v>1042</v>
      </c>
      <c r="F187" s="203" t="s">
        <v>22</v>
      </c>
      <c r="G187" s="440">
        <v>9</v>
      </c>
      <c r="H187" s="205">
        <v>2.95</v>
      </c>
      <c r="I187" s="203">
        <v>111.38</v>
      </c>
      <c r="J187" s="167">
        <f t="shared" si="452"/>
        <v>114.33</v>
      </c>
      <c r="K187" s="168">
        <f t="shared" si="453"/>
        <v>26.55</v>
      </c>
      <c r="L187" s="169">
        <f t="shared" si="454"/>
        <v>1002.42</v>
      </c>
      <c r="M187" s="438">
        <f t="shared" si="455"/>
        <v>1028.97</v>
      </c>
      <c r="N187" s="165">
        <f t="shared" si="456"/>
        <v>3.5978200000000005</v>
      </c>
      <c r="O187" s="166">
        <f t="shared" si="457"/>
        <v>135.83904799999999</v>
      </c>
      <c r="P187" s="167">
        <f t="shared" si="458"/>
        <v>139.43</v>
      </c>
      <c r="Q187" s="168">
        <f t="shared" si="459"/>
        <v>32.380380000000002</v>
      </c>
      <c r="R187" s="169">
        <f t="shared" si="460"/>
        <v>1222.551432</v>
      </c>
      <c r="S187" s="169">
        <f t="shared" si="461"/>
        <v>1254.93</v>
      </c>
      <c r="T187" s="439">
        <f t="shared" si="398"/>
        <v>5.2342763151580669E-4</v>
      </c>
    </row>
    <row r="188" spans="2:20" ht="24.95" customHeight="1" x14ac:dyDescent="0.25">
      <c r="B188" s="205" t="s">
        <v>1477</v>
      </c>
      <c r="C188" s="160" t="s">
        <v>1043</v>
      </c>
      <c r="D188" s="160" t="s">
        <v>905</v>
      </c>
      <c r="E188" s="209" t="s">
        <v>1044</v>
      </c>
      <c r="F188" s="203" t="s">
        <v>847</v>
      </c>
      <c r="G188" s="440">
        <v>1728</v>
      </c>
      <c r="H188" s="205">
        <v>4</v>
      </c>
      <c r="I188" s="203">
        <v>22.12</v>
      </c>
      <c r="J188" s="167">
        <f t="shared" si="452"/>
        <v>26.12</v>
      </c>
      <c r="K188" s="168">
        <f t="shared" si="453"/>
        <v>6912</v>
      </c>
      <c r="L188" s="169">
        <f t="shared" si="454"/>
        <v>38223.360000000001</v>
      </c>
      <c r="M188" s="438">
        <f t="shared" si="455"/>
        <v>45135.360000000001</v>
      </c>
      <c r="N188" s="165">
        <f t="shared" si="456"/>
        <v>4.8784000000000001</v>
      </c>
      <c r="O188" s="166">
        <f t="shared" si="457"/>
        <v>26.977552000000003</v>
      </c>
      <c r="P188" s="167">
        <f t="shared" si="458"/>
        <v>31.85</v>
      </c>
      <c r="Q188" s="168">
        <f t="shared" si="459"/>
        <v>8429.8752000000004</v>
      </c>
      <c r="R188" s="169">
        <f t="shared" si="460"/>
        <v>46617.209856000001</v>
      </c>
      <c r="S188" s="169">
        <f t="shared" si="461"/>
        <v>55047.08</v>
      </c>
      <c r="T188" s="439">
        <f t="shared" si="398"/>
        <v>2.2959976019587651E-2</v>
      </c>
    </row>
    <row r="189" spans="2:20" ht="24.95" customHeight="1" x14ac:dyDescent="0.25">
      <c r="B189" s="205" t="s">
        <v>1478</v>
      </c>
      <c r="C189" s="160" t="s">
        <v>1045</v>
      </c>
      <c r="D189" s="160" t="s">
        <v>267</v>
      </c>
      <c r="E189" s="209" t="s">
        <v>1046</v>
      </c>
      <c r="F189" s="203" t="s">
        <v>22</v>
      </c>
      <c r="G189" s="440">
        <v>864</v>
      </c>
      <c r="H189" s="205">
        <v>6.29</v>
      </c>
      <c r="I189" s="203">
        <v>36.89</v>
      </c>
      <c r="J189" s="167">
        <f t="shared" si="452"/>
        <v>43.18</v>
      </c>
      <c r="K189" s="168">
        <f t="shared" si="453"/>
        <v>5434.56</v>
      </c>
      <c r="L189" s="169">
        <f t="shared" si="454"/>
        <v>31872.959999999999</v>
      </c>
      <c r="M189" s="438">
        <f t="shared" si="455"/>
        <v>37307.519999999997</v>
      </c>
      <c r="N189" s="165">
        <f t="shared" si="456"/>
        <v>7.671284</v>
      </c>
      <c r="O189" s="166">
        <f t="shared" si="457"/>
        <v>44.991044000000002</v>
      </c>
      <c r="P189" s="167">
        <f t="shared" si="458"/>
        <v>52.66</v>
      </c>
      <c r="Q189" s="168">
        <f t="shared" si="459"/>
        <v>6627.9893759999995</v>
      </c>
      <c r="R189" s="169">
        <f t="shared" si="460"/>
        <v>38872.262016000001</v>
      </c>
      <c r="S189" s="169">
        <f t="shared" si="461"/>
        <v>45500.25</v>
      </c>
      <c r="T189" s="439">
        <f t="shared" si="398"/>
        <v>1.8978021157257441E-2</v>
      </c>
    </row>
    <row r="190" spans="2:20" ht="24.95" customHeight="1" x14ac:dyDescent="0.25">
      <c r="B190" s="205" t="s">
        <v>1479</v>
      </c>
      <c r="C190" s="160" t="s">
        <v>1251</v>
      </c>
      <c r="D190" s="160" t="s">
        <v>125</v>
      </c>
      <c r="E190" s="209" t="s">
        <v>1252</v>
      </c>
      <c r="F190" s="203" t="s">
        <v>22</v>
      </c>
      <c r="G190" s="440">
        <v>99</v>
      </c>
      <c r="H190" s="205">
        <v>2.95</v>
      </c>
      <c r="I190" s="203">
        <v>7.15</v>
      </c>
      <c r="J190" s="167">
        <f t="shared" ref="J190" si="472">TRUNC(SUM(H190:I190),2)</f>
        <v>10.1</v>
      </c>
      <c r="K190" s="168">
        <f t="shared" ref="K190" si="473">+H190*G190</f>
        <v>292.05</v>
      </c>
      <c r="L190" s="169">
        <f t="shared" ref="L190" si="474">+I190*G190</f>
        <v>707.85</v>
      </c>
      <c r="M190" s="438">
        <f t="shared" ref="M190" si="475">TRUNC(SUM(K190:L190),2)</f>
        <v>999.9</v>
      </c>
      <c r="N190" s="165">
        <f t="shared" ref="N190" si="476">+H190*(1+$T$10)</f>
        <v>3.5978200000000005</v>
      </c>
      <c r="O190" s="166">
        <f t="shared" ref="O190" si="477">+I190*(1+$T$10)</f>
        <v>8.7201400000000007</v>
      </c>
      <c r="P190" s="167">
        <f t="shared" ref="P190" si="478">TRUNC(SUM(N190:O190),2)</f>
        <v>12.31</v>
      </c>
      <c r="Q190" s="168">
        <f t="shared" ref="Q190" si="479">+N190*G190</f>
        <v>356.18418000000003</v>
      </c>
      <c r="R190" s="169">
        <f t="shared" ref="R190" si="480">+O190*G190</f>
        <v>863.29386000000011</v>
      </c>
      <c r="S190" s="169">
        <f t="shared" ref="S190" si="481">TRUNC(SUM(Q190:R190),2)</f>
        <v>1219.47</v>
      </c>
      <c r="T190" s="439">
        <f t="shared" si="398"/>
        <v>5.086373692593059E-4</v>
      </c>
    </row>
    <row r="191" spans="2:20" ht="24.95" customHeight="1" x14ac:dyDescent="0.25">
      <c r="B191" s="205" t="s">
        <v>1250</v>
      </c>
      <c r="C191" s="160" t="s">
        <v>1282</v>
      </c>
      <c r="D191" s="160" t="s">
        <v>125</v>
      </c>
      <c r="E191" s="209" t="s">
        <v>1283</v>
      </c>
      <c r="F191" s="203" t="s">
        <v>22</v>
      </c>
      <c r="G191" s="440">
        <v>9</v>
      </c>
      <c r="H191" s="205">
        <v>16.88</v>
      </c>
      <c r="I191" s="203">
        <v>997.22</v>
      </c>
      <c r="J191" s="167">
        <f t="shared" ref="J191" si="482">TRUNC(SUM(H191:I191),2)</f>
        <v>1014.1</v>
      </c>
      <c r="K191" s="168">
        <f t="shared" ref="K191" si="483">+H191*G191</f>
        <v>151.91999999999999</v>
      </c>
      <c r="L191" s="169">
        <f t="shared" ref="L191" si="484">+I191*G191</f>
        <v>8974.98</v>
      </c>
      <c r="M191" s="438">
        <f t="shared" ref="M191" si="485">TRUNC(SUM(K191:L191),2)</f>
        <v>9126.9</v>
      </c>
      <c r="N191" s="165">
        <f t="shared" ref="N191" si="486">+H191*(1+$T$10)</f>
        <v>20.586848</v>
      </c>
      <c r="O191" s="166">
        <f t="shared" ref="O191" si="487">+I191*(1+$T$10)</f>
        <v>1216.2095120000001</v>
      </c>
      <c r="P191" s="167">
        <f t="shared" ref="P191" si="488">TRUNC(SUM(N191:O191),2)</f>
        <v>1236.79</v>
      </c>
      <c r="Q191" s="168">
        <f t="shared" ref="Q191" si="489">+N191*G191</f>
        <v>185.281632</v>
      </c>
      <c r="R191" s="169">
        <f t="shared" ref="R191" si="490">+O191*G191</f>
        <v>10945.885608000001</v>
      </c>
      <c r="S191" s="169">
        <f t="shared" ref="S191" si="491">TRUNC(SUM(Q191:R191),2)</f>
        <v>11131.16</v>
      </c>
      <c r="T191" s="439">
        <f t="shared" si="398"/>
        <v>4.642774270137367E-3</v>
      </c>
    </row>
    <row r="192" spans="2:20" ht="24.95" customHeight="1" x14ac:dyDescent="0.25">
      <c r="B192" s="339" t="s">
        <v>1489</v>
      </c>
      <c r="C192" s="357"/>
      <c r="D192" s="358"/>
      <c r="E192" s="341" t="s">
        <v>1051</v>
      </c>
      <c r="F192" s="340"/>
      <c r="G192" s="356"/>
      <c r="H192" s="347"/>
      <c r="I192" s="348"/>
      <c r="J192" s="349">
        <f t="shared" si="452"/>
        <v>0</v>
      </c>
      <c r="K192" s="393">
        <f>SUM(K193:K204)</f>
        <v>8047.2999999999993</v>
      </c>
      <c r="L192" s="393">
        <f>SUM(L193:L204)</f>
        <v>67579.95</v>
      </c>
      <c r="M192" s="393">
        <f>SUM(M193:M204)</f>
        <v>75627.25</v>
      </c>
      <c r="N192" s="394">
        <f t="shared" si="456"/>
        <v>0</v>
      </c>
      <c r="O192" s="348">
        <f t="shared" si="457"/>
        <v>0</v>
      </c>
      <c r="P192" s="349">
        <f t="shared" si="458"/>
        <v>0</v>
      </c>
      <c r="Q192" s="393">
        <f>SUM(Q193:Q204)</f>
        <v>9814.4870800000008</v>
      </c>
      <c r="R192" s="393">
        <f>SUM(R193:R204)</f>
        <v>82420.507020000005</v>
      </c>
      <c r="S192" s="393">
        <f>SUM(S193:S204)</f>
        <v>92234.929999999978</v>
      </c>
      <c r="T192" s="346">
        <f t="shared" si="398"/>
        <v>3.8470919456006475E-2</v>
      </c>
    </row>
    <row r="193" spans="2:20" ht="24.95" customHeight="1" x14ac:dyDescent="0.25">
      <c r="B193" s="205" t="s">
        <v>1048</v>
      </c>
      <c r="C193" s="160" t="s">
        <v>774</v>
      </c>
      <c r="D193" s="160" t="s">
        <v>214</v>
      </c>
      <c r="E193" s="209" t="s">
        <v>775</v>
      </c>
      <c r="F193" s="203" t="s">
        <v>22</v>
      </c>
      <c r="G193" s="204">
        <v>5</v>
      </c>
      <c r="H193" s="205">
        <v>42.01</v>
      </c>
      <c r="I193" s="203">
        <v>1599.16</v>
      </c>
      <c r="J193" s="167">
        <f t="shared" si="452"/>
        <v>1641.17</v>
      </c>
      <c r="K193" s="168">
        <f t="shared" si="453"/>
        <v>210.04999999999998</v>
      </c>
      <c r="L193" s="169">
        <f t="shared" si="454"/>
        <v>7995.8</v>
      </c>
      <c r="M193" s="170">
        <f t="shared" si="455"/>
        <v>8205.85</v>
      </c>
      <c r="N193" s="165">
        <f t="shared" si="456"/>
        <v>51.235396000000001</v>
      </c>
      <c r="O193" s="166">
        <f t="shared" si="457"/>
        <v>1950.335536</v>
      </c>
      <c r="P193" s="167">
        <f t="shared" si="458"/>
        <v>2001.57</v>
      </c>
      <c r="Q193" s="168">
        <f t="shared" si="459"/>
        <v>256.17698000000001</v>
      </c>
      <c r="R193" s="169">
        <f t="shared" si="460"/>
        <v>9751.6776800000007</v>
      </c>
      <c r="S193" s="169">
        <f t="shared" si="461"/>
        <v>10007.85</v>
      </c>
      <c r="T193" s="161">
        <f t="shared" ref="T193:T207" si="492">+S193/$S$213</f>
        <v>4.1742449555476919E-3</v>
      </c>
    </row>
    <row r="194" spans="2:20" ht="24.95" customHeight="1" x14ac:dyDescent="0.25">
      <c r="B194" s="205" t="s">
        <v>1480</v>
      </c>
      <c r="C194" s="160" t="s">
        <v>776</v>
      </c>
      <c r="D194" s="160" t="s">
        <v>125</v>
      </c>
      <c r="E194" s="209" t="s">
        <v>562</v>
      </c>
      <c r="F194" s="203" t="s">
        <v>245</v>
      </c>
      <c r="G194" s="440">
        <v>5</v>
      </c>
      <c r="H194" s="205">
        <v>5.92</v>
      </c>
      <c r="I194" s="203">
        <v>516.27</v>
      </c>
      <c r="J194" s="167">
        <f t="shared" si="452"/>
        <v>522.19000000000005</v>
      </c>
      <c r="K194" s="168">
        <f t="shared" si="453"/>
        <v>29.6</v>
      </c>
      <c r="L194" s="169">
        <f t="shared" si="454"/>
        <v>2581.35</v>
      </c>
      <c r="M194" s="438">
        <f t="shared" si="455"/>
        <v>2610.9499999999998</v>
      </c>
      <c r="N194" s="165">
        <f t="shared" si="456"/>
        <v>7.2200319999999998</v>
      </c>
      <c r="O194" s="166">
        <f t="shared" si="457"/>
        <v>629.64289199999996</v>
      </c>
      <c r="P194" s="167">
        <f t="shared" si="458"/>
        <v>636.86</v>
      </c>
      <c r="Q194" s="168">
        <f t="shared" si="459"/>
        <v>36.100160000000002</v>
      </c>
      <c r="R194" s="169">
        <f t="shared" si="460"/>
        <v>3148.2144599999997</v>
      </c>
      <c r="S194" s="169">
        <f t="shared" si="461"/>
        <v>3184.31</v>
      </c>
      <c r="T194" s="439">
        <f t="shared" si="492"/>
        <v>1.3281663848279171E-3</v>
      </c>
    </row>
    <row r="195" spans="2:20" ht="24.95" customHeight="1" x14ac:dyDescent="0.25">
      <c r="B195" s="205" t="s">
        <v>1481</v>
      </c>
      <c r="C195" s="160" t="s">
        <v>777</v>
      </c>
      <c r="D195" s="160" t="s">
        <v>214</v>
      </c>
      <c r="E195" s="209" t="s">
        <v>778</v>
      </c>
      <c r="F195" s="203" t="s">
        <v>22</v>
      </c>
      <c r="G195" s="440">
        <v>5</v>
      </c>
      <c r="H195" s="205">
        <v>75.459999999999994</v>
      </c>
      <c r="I195" s="203">
        <v>593.45000000000005</v>
      </c>
      <c r="J195" s="167">
        <f t="shared" si="452"/>
        <v>668.91</v>
      </c>
      <c r="K195" s="168">
        <f t="shared" si="453"/>
        <v>377.29999999999995</v>
      </c>
      <c r="L195" s="169">
        <f t="shared" si="454"/>
        <v>2967.25</v>
      </c>
      <c r="M195" s="438">
        <f t="shared" si="455"/>
        <v>3344.55</v>
      </c>
      <c r="N195" s="165">
        <f t="shared" si="456"/>
        <v>92.031015999999994</v>
      </c>
      <c r="O195" s="166">
        <f t="shared" si="457"/>
        <v>723.7716200000001</v>
      </c>
      <c r="P195" s="167">
        <f t="shared" si="458"/>
        <v>815.8</v>
      </c>
      <c r="Q195" s="168">
        <f t="shared" si="459"/>
        <v>460.15508</v>
      </c>
      <c r="R195" s="169">
        <f t="shared" si="460"/>
        <v>3618.8581000000004</v>
      </c>
      <c r="S195" s="169">
        <f t="shared" si="461"/>
        <v>4079.01</v>
      </c>
      <c r="T195" s="439">
        <f t="shared" si="492"/>
        <v>1.7013431372501179E-3</v>
      </c>
    </row>
    <row r="196" spans="2:20" ht="24.95" customHeight="1" x14ac:dyDescent="0.25">
      <c r="B196" s="205" t="s">
        <v>1482</v>
      </c>
      <c r="C196" s="160" t="s">
        <v>779</v>
      </c>
      <c r="D196" s="160" t="s">
        <v>214</v>
      </c>
      <c r="E196" s="209" t="s">
        <v>780</v>
      </c>
      <c r="F196" s="203" t="s">
        <v>22</v>
      </c>
      <c r="G196" s="440">
        <v>20</v>
      </c>
      <c r="H196" s="205">
        <v>2.5499999999999998</v>
      </c>
      <c r="I196" s="203">
        <v>64.91</v>
      </c>
      <c r="J196" s="167">
        <f t="shared" si="452"/>
        <v>67.459999999999994</v>
      </c>
      <c r="K196" s="168">
        <f t="shared" si="453"/>
        <v>51</v>
      </c>
      <c r="L196" s="169">
        <f t="shared" si="454"/>
        <v>1298.1999999999998</v>
      </c>
      <c r="M196" s="438">
        <f t="shared" si="455"/>
        <v>1349.2</v>
      </c>
      <c r="N196" s="165">
        <f t="shared" si="456"/>
        <v>3.1099799999999997</v>
      </c>
      <c r="O196" s="166">
        <f t="shared" si="457"/>
        <v>79.164236000000002</v>
      </c>
      <c r="P196" s="167">
        <f t="shared" si="458"/>
        <v>82.27</v>
      </c>
      <c r="Q196" s="168">
        <f t="shared" si="459"/>
        <v>62.199599999999997</v>
      </c>
      <c r="R196" s="169">
        <f t="shared" si="460"/>
        <v>1583.2847200000001</v>
      </c>
      <c r="S196" s="169">
        <f t="shared" si="461"/>
        <v>1645.48</v>
      </c>
      <c r="T196" s="439">
        <f t="shared" si="492"/>
        <v>6.8632489390374723E-4</v>
      </c>
    </row>
    <row r="197" spans="2:20" ht="24.95" customHeight="1" x14ac:dyDescent="0.25">
      <c r="B197" s="205" t="s">
        <v>1483</v>
      </c>
      <c r="C197" s="160" t="s">
        <v>781</v>
      </c>
      <c r="D197" s="160" t="s">
        <v>31</v>
      </c>
      <c r="E197" s="209" t="s">
        <v>782</v>
      </c>
      <c r="F197" s="203" t="s">
        <v>22</v>
      </c>
      <c r="G197" s="440">
        <v>15</v>
      </c>
      <c r="H197" s="205">
        <v>183.89</v>
      </c>
      <c r="I197" s="203">
        <v>716.38</v>
      </c>
      <c r="J197" s="167">
        <f t="shared" si="452"/>
        <v>900.27</v>
      </c>
      <c r="K197" s="168">
        <f t="shared" si="453"/>
        <v>2758.35</v>
      </c>
      <c r="L197" s="169">
        <f t="shared" si="454"/>
        <v>10745.7</v>
      </c>
      <c r="M197" s="438">
        <f t="shared" si="455"/>
        <v>13504.05</v>
      </c>
      <c r="N197" s="165">
        <f t="shared" si="456"/>
        <v>224.272244</v>
      </c>
      <c r="O197" s="166">
        <f t="shared" si="457"/>
        <v>873.697048</v>
      </c>
      <c r="P197" s="167">
        <f t="shared" si="458"/>
        <v>1097.96</v>
      </c>
      <c r="Q197" s="168">
        <f t="shared" si="459"/>
        <v>3364.0836600000002</v>
      </c>
      <c r="R197" s="169">
        <f t="shared" si="460"/>
        <v>13105.45572</v>
      </c>
      <c r="S197" s="169">
        <f t="shared" si="461"/>
        <v>16469.53</v>
      </c>
      <c r="T197" s="439">
        <f t="shared" si="492"/>
        <v>6.8693927789426675E-3</v>
      </c>
    </row>
    <row r="198" spans="2:20" ht="24.95" customHeight="1" x14ac:dyDescent="0.25">
      <c r="B198" s="205" t="s">
        <v>1484</v>
      </c>
      <c r="C198" s="160" t="s">
        <v>783</v>
      </c>
      <c r="D198" s="160" t="s">
        <v>214</v>
      </c>
      <c r="E198" s="209" t="s">
        <v>784</v>
      </c>
      <c r="F198" s="203" t="s">
        <v>22</v>
      </c>
      <c r="G198" s="440">
        <v>5</v>
      </c>
      <c r="H198" s="205">
        <v>2.5499999999999998</v>
      </c>
      <c r="I198" s="203">
        <v>96.64</v>
      </c>
      <c r="J198" s="167">
        <f t="shared" si="452"/>
        <v>99.19</v>
      </c>
      <c r="K198" s="168">
        <f t="shared" si="453"/>
        <v>12.75</v>
      </c>
      <c r="L198" s="169">
        <f t="shared" si="454"/>
        <v>483.2</v>
      </c>
      <c r="M198" s="438">
        <f t="shared" si="455"/>
        <v>495.95</v>
      </c>
      <c r="N198" s="165">
        <f t="shared" si="456"/>
        <v>3.1099799999999997</v>
      </c>
      <c r="O198" s="166">
        <f t="shared" si="457"/>
        <v>117.862144</v>
      </c>
      <c r="P198" s="167">
        <f t="shared" si="458"/>
        <v>120.97</v>
      </c>
      <c r="Q198" s="168">
        <f t="shared" si="459"/>
        <v>15.549899999999999</v>
      </c>
      <c r="R198" s="169">
        <f t="shared" si="460"/>
        <v>589.31071999999995</v>
      </c>
      <c r="S198" s="169">
        <f t="shared" si="461"/>
        <v>604.86</v>
      </c>
      <c r="T198" s="439">
        <f t="shared" si="492"/>
        <v>2.5228533639218986E-4</v>
      </c>
    </row>
    <row r="199" spans="2:20" ht="24.95" customHeight="1" x14ac:dyDescent="0.25">
      <c r="B199" s="205" t="s">
        <v>1363</v>
      </c>
      <c r="C199" s="160">
        <v>59252</v>
      </c>
      <c r="D199" s="171" t="s">
        <v>214</v>
      </c>
      <c r="E199" s="163" t="s">
        <v>1358</v>
      </c>
      <c r="F199" s="160" t="s">
        <v>22</v>
      </c>
      <c r="G199" s="437">
        <v>15</v>
      </c>
      <c r="H199" s="427">
        <v>61.15</v>
      </c>
      <c r="I199" s="428">
        <v>1073.4000000000001</v>
      </c>
      <c r="J199" s="167">
        <f t="shared" ref="J199" si="493">TRUNC(SUM(H199:I199),2)</f>
        <v>1134.55</v>
      </c>
      <c r="K199" s="168">
        <f t="shared" ref="K199" si="494">+H199*G199</f>
        <v>917.25</v>
      </c>
      <c r="L199" s="169">
        <f t="shared" ref="L199" si="495">+I199*G199</f>
        <v>16101.000000000002</v>
      </c>
      <c r="M199" s="438">
        <f t="shared" ref="M199" si="496">TRUNC(SUM(K199:L199),2)</f>
        <v>17018.25</v>
      </c>
      <c r="N199" s="165">
        <f t="shared" ref="N199" si="497">+H199*(1+$T$10)</f>
        <v>74.578540000000004</v>
      </c>
      <c r="O199" s="166">
        <f t="shared" ref="O199" si="498">+I199*(1+$T$10)</f>
        <v>1309.1186400000001</v>
      </c>
      <c r="P199" s="167">
        <f t="shared" ref="P199" si="499">TRUNC(SUM(N199:O199),2)</f>
        <v>1383.69</v>
      </c>
      <c r="Q199" s="168">
        <f t="shared" ref="Q199" si="500">+N199*G199</f>
        <v>1118.6781000000001</v>
      </c>
      <c r="R199" s="169">
        <f t="shared" ref="R199" si="501">+O199*G199</f>
        <v>19636.779600000002</v>
      </c>
      <c r="S199" s="169">
        <f t="shared" ref="S199" si="502">TRUNC(SUM(Q199:R199),2)</f>
        <v>20755.45</v>
      </c>
      <c r="T199" s="439">
        <f t="shared" si="492"/>
        <v>8.6570374718468353E-3</v>
      </c>
    </row>
    <row r="200" spans="2:20" ht="24.95" customHeight="1" x14ac:dyDescent="0.25">
      <c r="B200" s="205" t="s">
        <v>1485</v>
      </c>
      <c r="C200" s="160" t="s">
        <v>1041</v>
      </c>
      <c r="D200" s="160" t="s">
        <v>125</v>
      </c>
      <c r="E200" s="209" t="s">
        <v>1042</v>
      </c>
      <c r="F200" s="203" t="s">
        <v>22</v>
      </c>
      <c r="G200" s="440">
        <v>5</v>
      </c>
      <c r="H200" s="205">
        <v>2.95</v>
      </c>
      <c r="I200" s="203">
        <v>111.38</v>
      </c>
      <c r="J200" s="167">
        <f t="shared" si="452"/>
        <v>114.33</v>
      </c>
      <c r="K200" s="168">
        <f t="shared" si="453"/>
        <v>14.75</v>
      </c>
      <c r="L200" s="169">
        <f t="shared" si="454"/>
        <v>556.9</v>
      </c>
      <c r="M200" s="438">
        <f t="shared" si="455"/>
        <v>571.65</v>
      </c>
      <c r="N200" s="165">
        <f t="shared" si="456"/>
        <v>3.5978200000000005</v>
      </c>
      <c r="O200" s="166">
        <f t="shared" si="457"/>
        <v>135.83904799999999</v>
      </c>
      <c r="P200" s="167">
        <f t="shared" si="458"/>
        <v>139.43</v>
      </c>
      <c r="Q200" s="168">
        <f t="shared" si="459"/>
        <v>17.989100000000001</v>
      </c>
      <c r="R200" s="169">
        <f t="shared" si="460"/>
        <v>679.19524000000001</v>
      </c>
      <c r="S200" s="169">
        <f t="shared" si="461"/>
        <v>697.18</v>
      </c>
      <c r="T200" s="439">
        <f t="shared" si="492"/>
        <v>2.9079173829631139E-4</v>
      </c>
    </row>
    <row r="201" spans="2:20" ht="24.95" customHeight="1" x14ac:dyDescent="0.25">
      <c r="B201" s="205" t="s">
        <v>1486</v>
      </c>
      <c r="C201" s="160" t="s">
        <v>1043</v>
      </c>
      <c r="D201" s="160" t="s">
        <v>905</v>
      </c>
      <c r="E201" s="209" t="s">
        <v>1044</v>
      </c>
      <c r="F201" s="203" t="s">
        <v>847</v>
      </c>
      <c r="G201" s="440">
        <v>480</v>
      </c>
      <c r="H201" s="205">
        <v>4</v>
      </c>
      <c r="I201" s="203">
        <v>22.12</v>
      </c>
      <c r="J201" s="167">
        <f t="shared" si="452"/>
        <v>26.12</v>
      </c>
      <c r="K201" s="168">
        <f t="shared" si="453"/>
        <v>1920</v>
      </c>
      <c r="L201" s="169">
        <f t="shared" si="454"/>
        <v>10617.6</v>
      </c>
      <c r="M201" s="438">
        <f t="shared" si="455"/>
        <v>12537.6</v>
      </c>
      <c r="N201" s="165">
        <f t="shared" si="456"/>
        <v>4.8784000000000001</v>
      </c>
      <c r="O201" s="166">
        <f t="shared" si="457"/>
        <v>26.977552000000003</v>
      </c>
      <c r="P201" s="167">
        <f t="shared" si="458"/>
        <v>31.85</v>
      </c>
      <c r="Q201" s="168">
        <f t="shared" si="459"/>
        <v>2341.6320000000001</v>
      </c>
      <c r="R201" s="169">
        <f t="shared" si="460"/>
        <v>12949.224960000001</v>
      </c>
      <c r="S201" s="169">
        <f t="shared" si="461"/>
        <v>15290.85</v>
      </c>
      <c r="T201" s="439">
        <f t="shared" si="492"/>
        <v>6.3777687993461559E-3</v>
      </c>
    </row>
    <row r="202" spans="2:20" ht="24.95" customHeight="1" x14ac:dyDescent="0.25">
      <c r="B202" s="205" t="s">
        <v>1487</v>
      </c>
      <c r="C202" s="160" t="s">
        <v>1045</v>
      </c>
      <c r="D202" s="160" t="s">
        <v>267</v>
      </c>
      <c r="E202" s="209" t="s">
        <v>1046</v>
      </c>
      <c r="F202" s="203" t="s">
        <v>22</v>
      </c>
      <c r="G202" s="440">
        <v>240</v>
      </c>
      <c r="H202" s="205">
        <v>6.29</v>
      </c>
      <c r="I202" s="203">
        <v>36.89</v>
      </c>
      <c r="J202" s="167">
        <f t="shared" si="452"/>
        <v>43.18</v>
      </c>
      <c r="K202" s="168">
        <f t="shared" si="453"/>
        <v>1509.6</v>
      </c>
      <c r="L202" s="169">
        <f t="shared" si="454"/>
        <v>8853.6</v>
      </c>
      <c r="M202" s="438">
        <f t="shared" si="455"/>
        <v>10363.200000000001</v>
      </c>
      <c r="N202" s="165">
        <f t="shared" si="456"/>
        <v>7.671284</v>
      </c>
      <c r="O202" s="166">
        <f t="shared" si="457"/>
        <v>44.991044000000002</v>
      </c>
      <c r="P202" s="167">
        <f t="shared" si="458"/>
        <v>52.66</v>
      </c>
      <c r="Q202" s="168">
        <f t="shared" si="459"/>
        <v>1841.10816</v>
      </c>
      <c r="R202" s="169">
        <f t="shared" si="460"/>
        <v>10797.850560000001</v>
      </c>
      <c r="S202" s="169">
        <f t="shared" si="461"/>
        <v>12638.95</v>
      </c>
      <c r="T202" s="439">
        <f t="shared" si="492"/>
        <v>5.2716690678736699E-3</v>
      </c>
    </row>
    <row r="203" spans="2:20" ht="24.95" customHeight="1" x14ac:dyDescent="0.25">
      <c r="B203" s="205" t="s">
        <v>1479</v>
      </c>
      <c r="C203" s="160" t="s">
        <v>1251</v>
      </c>
      <c r="D203" s="160" t="s">
        <v>125</v>
      </c>
      <c r="E203" s="209" t="s">
        <v>1252</v>
      </c>
      <c r="F203" s="203" t="s">
        <v>22</v>
      </c>
      <c r="G203" s="440">
        <v>55</v>
      </c>
      <c r="H203" s="205">
        <v>2.95</v>
      </c>
      <c r="I203" s="203">
        <v>7.15</v>
      </c>
      <c r="J203" s="167">
        <f t="shared" ref="J203" si="503">TRUNC(SUM(H203:I203),2)</f>
        <v>10.1</v>
      </c>
      <c r="K203" s="168">
        <f t="shared" ref="K203" si="504">+H203*G203</f>
        <v>162.25</v>
      </c>
      <c r="L203" s="169">
        <f t="shared" ref="L203" si="505">+I203*G203</f>
        <v>393.25</v>
      </c>
      <c r="M203" s="438">
        <f t="shared" ref="M203" si="506">TRUNC(SUM(K203:L203),2)</f>
        <v>555.5</v>
      </c>
      <c r="N203" s="165">
        <f t="shared" ref="N203" si="507">+H203*(1+$T$10)</f>
        <v>3.5978200000000005</v>
      </c>
      <c r="O203" s="166">
        <f t="shared" ref="O203" si="508">+I203*(1+$T$10)</f>
        <v>8.7201400000000007</v>
      </c>
      <c r="P203" s="167">
        <f t="shared" ref="P203" si="509">TRUNC(SUM(N203:O203),2)</f>
        <v>12.31</v>
      </c>
      <c r="Q203" s="168">
        <f t="shared" ref="Q203" si="510">+N203*G203</f>
        <v>197.88010000000003</v>
      </c>
      <c r="R203" s="169">
        <f t="shared" ref="R203" si="511">+O203*G203</f>
        <v>479.60770000000002</v>
      </c>
      <c r="S203" s="169">
        <f t="shared" ref="S203" si="512">TRUNC(SUM(Q203:R203),2)</f>
        <v>677.48</v>
      </c>
      <c r="T203" s="439">
        <f t="shared" si="492"/>
        <v>2.8257492593158874E-4</v>
      </c>
    </row>
    <row r="204" spans="2:20" ht="24.95" customHeight="1" x14ac:dyDescent="0.25">
      <c r="B204" s="205" t="s">
        <v>1253</v>
      </c>
      <c r="C204" s="160" t="s">
        <v>1282</v>
      </c>
      <c r="D204" s="160" t="s">
        <v>125</v>
      </c>
      <c r="E204" s="209" t="s">
        <v>1283</v>
      </c>
      <c r="F204" s="203" t="s">
        <v>22</v>
      </c>
      <c r="G204" s="440">
        <v>5</v>
      </c>
      <c r="H204" s="205">
        <v>16.88</v>
      </c>
      <c r="I204" s="203">
        <v>997.22</v>
      </c>
      <c r="J204" s="167">
        <f t="shared" ref="J204" si="513">TRUNC(SUM(H204:I204),2)</f>
        <v>1014.1</v>
      </c>
      <c r="K204" s="168">
        <f t="shared" ref="K204" si="514">+H204*G204</f>
        <v>84.399999999999991</v>
      </c>
      <c r="L204" s="169">
        <f t="shared" ref="L204" si="515">+I204*G204</f>
        <v>4986.1000000000004</v>
      </c>
      <c r="M204" s="438">
        <f t="shared" ref="M204" si="516">TRUNC(SUM(K204:L204),2)</f>
        <v>5070.5</v>
      </c>
      <c r="N204" s="165">
        <f t="shared" ref="N204" si="517">+H204*(1+$T$10)</f>
        <v>20.586848</v>
      </c>
      <c r="O204" s="166">
        <f t="shared" ref="O204" si="518">+I204*(1+$T$10)</f>
        <v>1216.2095120000001</v>
      </c>
      <c r="P204" s="167">
        <f t="shared" ref="P204" si="519">TRUNC(SUM(N204:O204),2)</f>
        <v>1236.79</v>
      </c>
      <c r="Q204" s="168">
        <f t="shared" ref="Q204" si="520">+N204*G204</f>
        <v>102.93424</v>
      </c>
      <c r="R204" s="169">
        <f t="shared" ref="R204" si="521">+O204*G204</f>
        <v>6081.0475600000009</v>
      </c>
      <c r="S204" s="169">
        <f t="shared" ref="S204" si="522">TRUNC(SUM(Q204:R204),2)</f>
        <v>6183.98</v>
      </c>
      <c r="T204" s="439">
        <f t="shared" si="492"/>
        <v>2.5793199658475912E-3</v>
      </c>
    </row>
    <row r="205" spans="2:20" ht="24.95" customHeight="1" x14ac:dyDescent="0.25">
      <c r="B205" s="359" t="s">
        <v>1490</v>
      </c>
      <c r="C205" s="357"/>
      <c r="D205" s="358"/>
      <c r="E205" s="341" t="s">
        <v>28</v>
      </c>
      <c r="F205" s="340"/>
      <c r="G205" s="356"/>
      <c r="H205" s="347"/>
      <c r="I205" s="348"/>
      <c r="J205" s="349">
        <f t="shared" ref="J205" si="523">TRUNC(SUM(H205:I205),2)</f>
        <v>0</v>
      </c>
      <c r="K205" s="393">
        <f>SUM(K206)</f>
        <v>15750</v>
      </c>
      <c r="L205" s="393">
        <f t="shared" ref="L205:M205" si="524">SUM(L206)</f>
        <v>0</v>
      </c>
      <c r="M205" s="393">
        <f t="shared" si="524"/>
        <v>15750</v>
      </c>
      <c r="N205" s="394">
        <f t="shared" ref="N205" si="525">+H205*(1+$T$10)</f>
        <v>0</v>
      </c>
      <c r="O205" s="348">
        <f t="shared" ref="O205" si="526">+I205*(1+$T$10)</f>
        <v>0</v>
      </c>
      <c r="P205" s="349">
        <f t="shared" ref="P205" si="527">TRUNC(SUM(N205:O205),2)</f>
        <v>0</v>
      </c>
      <c r="Q205" s="393">
        <f>SUM(Q206)</f>
        <v>19208.7</v>
      </c>
      <c r="R205" s="393">
        <f t="shared" ref="R205" si="528">SUM(R206)</f>
        <v>0</v>
      </c>
      <c r="S205" s="393">
        <f t="shared" ref="S205" si="529">SUM(S206)</f>
        <v>19208.7</v>
      </c>
      <c r="T205" s="346">
        <f t="shared" si="492"/>
        <v>8.0118925720938025E-3</v>
      </c>
    </row>
    <row r="206" spans="2:20" ht="24.95" customHeight="1" x14ac:dyDescent="0.25">
      <c r="B206" s="205" t="s">
        <v>1052</v>
      </c>
      <c r="C206" s="160" t="s">
        <v>785</v>
      </c>
      <c r="D206" s="160" t="s">
        <v>214</v>
      </c>
      <c r="E206" s="209" t="s">
        <v>786</v>
      </c>
      <c r="F206" s="203" t="s">
        <v>787</v>
      </c>
      <c r="G206" s="204">
        <v>750</v>
      </c>
      <c r="H206" s="205">
        <v>21</v>
      </c>
      <c r="I206" s="360">
        <v>0</v>
      </c>
      <c r="J206" s="167">
        <f t="shared" si="452"/>
        <v>21</v>
      </c>
      <c r="K206" s="168">
        <f t="shared" si="453"/>
        <v>15750</v>
      </c>
      <c r="L206" s="169">
        <f t="shared" si="454"/>
        <v>0</v>
      </c>
      <c r="M206" s="170">
        <f t="shared" si="455"/>
        <v>15750</v>
      </c>
      <c r="N206" s="165">
        <f t="shared" si="456"/>
        <v>25.611599999999999</v>
      </c>
      <c r="O206" s="166">
        <f t="shared" si="457"/>
        <v>0</v>
      </c>
      <c r="P206" s="167">
        <f t="shared" si="458"/>
        <v>25.61</v>
      </c>
      <c r="Q206" s="168">
        <f t="shared" si="459"/>
        <v>19208.7</v>
      </c>
      <c r="R206" s="169">
        <f t="shared" si="460"/>
        <v>0</v>
      </c>
      <c r="S206" s="169">
        <f t="shared" si="461"/>
        <v>19208.7</v>
      </c>
      <c r="T206" s="161">
        <f t="shared" si="492"/>
        <v>8.0118925720938025E-3</v>
      </c>
    </row>
    <row r="207" spans="2:20" ht="24.95" customHeight="1" x14ac:dyDescent="0.25">
      <c r="B207" s="205"/>
      <c r="C207" s="160"/>
      <c r="D207" s="160"/>
      <c r="E207" s="209"/>
      <c r="F207" s="203"/>
      <c r="G207" s="204"/>
      <c r="H207" s="205"/>
      <c r="I207" s="203"/>
      <c r="J207" s="167">
        <f t="shared" si="452"/>
        <v>0</v>
      </c>
      <c r="K207" s="168">
        <f t="shared" si="453"/>
        <v>0</v>
      </c>
      <c r="L207" s="169">
        <f t="shared" si="454"/>
        <v>0</v>
      </c>
      <c r="M207" s="170">
        <f t="shared" si="455"/>
        <v>0</v>
      </c>
      <c r="N207" s="165">
        <f t="shared" si="456"/>
        <v>0</v>
      </c>
      <c r="O207" s="166">
        <f t="shared" si="457"/>
        <v>0</v>
      </c>
      <c r="P207" s="167">
        <f t="shared" si="458"/>
        <v>0</v>
      </c>
      <c r="Q207" s="168">
        <f t="shared" si="459"/>
        <v>0</v>
      </c>
      <c r="R207" s="169">
        <f t="shared" si="460"/>
        <v>0</v>
      </c>
      <c r="S207" s="169">
        <f t="shared" si="461"/>
        <v>0</v>
      </c>
      <c r="T207" s="161">
        <f t="shared" si="492"/>
        <v>0</v>
      </c>
    </row>
    <row r="208" spans="2:20" ht="24.95" customHeight="1" x14ac:dyDescent="0.25">
      <c r="B208" s="327">
        <v>13</v>
      </c>
      <c r="C208" s="352"/>
      <c r="D208" s="352"/>
      <c r="E208" s="329" t="s">
        <v>1053</v>
      </c>
      <c r="F208" s="337"/>
      <c r="G208" s="353"/>
      <c r="H208" s="336"/>
      <c r="I208" s="337"/>
      <c r="J208" s="338">
        <f t="shared" si="452"/>
        <v>0</v>
      </c>
      <c r="K208" s="391">
        <f>SUM(K209)</f>
        <v>5754.0639999999994</v>
      </c>
      <c r="L208" s="391">
        <f t="shared" ref="L208:M208" si="530">SUM(L209)</f>
        <v>4910.7959999999994</v>
      </c>
      <c r="M208" s="391">
        <f t="shared" si="530"/>
        <v>10664.86</v>
      </c>
      <c r="N208" s="392">
        <f t="shared" si="456"/>
        <v>0</v>
      </c>
      <c r="O208" s="354">
        <f t="shared" si="457"/>
        <v>0</v>
      </c>
      <c r="P208" s="355">
        <f t="shared" si="458"/>
        <v>0</v>
      </c>
      <c r="Q208" s="391">
        <f>SUM(Q209)</f>
        <v>7017.6564543999993</v>
      </c>
      <c r="R208" s="391">
        <f t="shared" ref="R208" si="531">SUM(R209)</f>
        <v>5989.2068015999994</v>
      </c>
      <c r="S208" s="391">
        <f t="shared" ref="S208" si="532">SUM(S209)</f>
        <v>13006.86</v>
      </c>
      <c r="T208" s="334">
        <f t="shared" ref="T208:T209" si="533">+S208/$S$213</f>
        <v>5.4251232524982944E-3</v>
      </c>
    </row>
    <row r="209" spans="1:20" ht="24.95" customHeight="1" x14ac:dyDescent="0.25">
      <c r="B209" s="205" t="s">
        <v>1054</v>
      </c>
      <c r="C209" s="160" t="s">
        <v>1393</v>
      </c>
      <c r="D209" s="160" t="s">
        <v>177</v>
      </c>
      <c r="E209" s="209" t="s">
        <v>1394</v>
      </c>
      <c r="F209" s="203" t="s">
        <v>2</v>
      </c>
      <c r="G209" s="204">
        <v>4960.3999999999996</v>
      </c>
      <c r="H209" s="205">
        <v>1.1599999999999999</v>
      </c>
      <c r="I209" s="203">
        <v>0.99</v>
      </c>
      <c r="J209" s="167">
        <f t="shared" si="452"/>
        <v>2.15</v>
      </c>
      <c r="K209" s="168">
        <f t="shared" si="453"/>
        <v>5754.0639999999994</v>
      </c>
      <c r="L209" s="169">
        <f t="shared" si="454"/>
        <v>4910.7959999999994</v>
      </c>
      <c r="M209" s="170">
        <f t="shared" si="455"/>
        <v>10664.86</v>
      </c>
      <c r="N209" s="165">
        <f t="shared" si="456"/>
        <v>1.414736</v>
      </c>
      <c r="O209" s="166">
        <f t="shared" si="457"/>
        <v>1.2074039999999999</v>
      </c>
      <c r="P209" s="167">
        <f t="shared" si="458"/>
        <v>2.62</v>
      </c>
      <c r="Q209" s="168">
        <f t="shared" si="459"/>
        <v>7017.6564543999993</v>
      </c>
      <c r="R209" s="169">
        <f t="shared" si="460"/>
        <v>5989.2068015999994</v>
      </c>
      <c r="S209" s="169">
        <f t="shared" si="461"/>
        <v>13006.86</v>
      </c>
      <c r="T209" s="161">
        <f t="shared" si="533"/>
        <v>5.4251232524982944E-3</v>
      </c>
    </row>
    <row r="210" spans="1:20" ht="24.95" customHeight="1" thickBot="1" x14ac:dyDescent="0.3">
      <c r="B210" s="210"/>
      <c r="C210" s="211"/>
      <c r="D210" s="211"/>
      <c r="E210" s="212"/>
      <c r="F210" s="213"/>
      <c r="G210" s="214"/>
      <c r="H210" s="210"/>
      <c r="I210" s="213"/>
      <c r="J210" s="172"/>
      <c r="K210" s="173"/>
      <c r="L210" s="174"/>
      <c r="M210" s="175"/>
      <c r="N210" s="210"/>
      <c r="O210" s="213"/>
      <c r="P210" s="172"/>
      <c r="Q210" s="173"/>
      <c r="R210" s="174"/>
      <c r="S210" s="174"/>
      <c r="T210" s="176"/>
    </row>
    <row r="211" spans="1:20" ht="6.95" customHeight="1" thickBot="1" x14ac:dyDescent="0.3">
      <c r="B211" s="215"/>
      <c r="C211" s="216"/>
      <c r="D211" s="216"/>
      <c r="E211" s="217"/>
      <c r="F211" s="216"/>
      <c r="G211" s="218"/>
      <c r="H211" s="216"/>
      <c r="I211" s="216"/>
      <c r="J211" s="216"/>
      <c r="K211" s="216"/>
      <c r="L211" s="216"/>
      <c r="M211" s="218"/>
      <c r="N211" s="216"/>
      <c r="O211" s="216"/>
      <c r="P211" s="216"/>
      <c r="Q211" s="216"/>
      <c r="R211" s="216"/>
      <c r="S211" s="216"/>
    </row>
    <row r="212" spans="1:20" ht="6.95" customHeight="1" x14ac:dyDescent="0.25">
      <c r="B212" s="219"/>
      <c r="C212" s="192"/>
      <c r="D212" s="192"/>
      <c r="E212" s="219"/>
      <c r="F212" s="219"/>
      <c r="G212" s="220"/>
      <c r="H212" s="221"/>
      <c r="I212" s="222"/>
      <c r="J212" s="223"/>
      <c r="K212" s="224"/>
      <c r="L212" s="225"/>
      <c r="M212" s="226"/>
      <c r="N212" s="221"/>
      <c r="O212" s="222"/>
      <c r="P212" s="223"/>
      <c r="Q212" s="224"/>
      <c r="R212" s="225"/>
      <c r="S212" s="226"/>
    </row>
    <row r="213" spans="1:20" s="233" customFormat="1" x14ac:dyDescent="0.25">
      <c r="A213" s="227"/>
      <c r="B213" s="228"/>
      <c r="C213" s="228"/>
      <c r="D213" s="228"/>
      <c r="E213" s="228"/>
      <c r="F213" s="228"/>
      <c r="G213" s="228"/>
      <c r="H213" s="229"/>
      <c r="I213" s="230"/>
      <c r="J213" s="231" t="s">
        <v>144</v>
      </c>
      <c r="K213" s="232">
        <f>K15+K20+K28+K43+K51+K68+K75+K87+K104+K109+K121+K129+K208</f>
        <v>618202.78599999985</v>
      </c>
      <c r="L213" s="232">
        <f>L15+L20+L28+L43+L51+L68+L75+L87+L104+L109+L121+L129+L208</f>
        <v>1347625.50025</v>
      </c>
      <c r="M213" s="232">
        <f>M15+M20+M28+M43+M51+M68+M75+M87+M104+M109+M121+M129+M208</f>
        <v>1965828.22</v>
      </c>
      <c r="N213" s="229"/>
      <c r="O213" s="230"/>
      <c r="P213" s="231" t="s">
        <v>145</v>
      </c>
      <c r="Q213" s="232">
        <f>Q15+Q20+Q28+Q43+Q51+Q68+Q75+Q87+Q104+Q109+Q121+Q129+Q208</f>
        <v>753960.11780560005</v>
      </c>
      <c r="R213" s="232">
        <f>R15+R20+R28+R43+R51+R68+R75+R87+R104+R109+R121+R129+R208</f>
        <v>1643564.0601049</v>
      </c>
      <c r="S213" s="232">
        <f>S15+S20+S28+S43+S51+S68+S75+S87+S104+S109+S121+S129+S208</f>
        <v>2397523.4099999997</v>
      </c>
    </row>
    <row r="214" spans="1:20" ht="6.95" customHeight="1" thickBot="1" x14ac:dyDescent="0.3">
      <c r="B214" s="234"/>
      <c r="C214" s="192"/>
      <c r="D214" s="192"/>
      <c r="E214" s="235"/>
      <c r="F214" s="234"/>
      <c r="G214" s="236"/>
      <c r="H214" s="237"/>
      <c r="I214" s="238"/>
      <c r="J214" s="239"/>
      <c r="K214" s="240"/>
      <c r="L214" s="241"/>
      <c r="M214" s="242"/>
      <c r="N214" s="237"/>
      <c r="O214" s="238"/>
      <c r="P214" s="239"/>
      <c r="Q214" s="240"/>
      <c r="R214" s="241"/>
      <c r="S214" s="242"/>
    </row>
    <row r="216" spans="1:20" x14ac:dyDescent="0.25">
      <c r="S216" s="243"/>
    </row>
    <row r="219" spans="1:20" x14ac:dyDescent="0.25">
      <c r="S219" s="244"/>
    </row>
  </sheetData>
  <mergeCells count="14">
    <mergeCell ref="D13:D14"/>
    <mergeCell ref="N13:P13"/>
    <mergeCell ref="Q13:R13"/>
    <mergeCell ref="K13:M13"/>
    <mergeCell ref="B1:T6"/>
    <mergeCell ref="T13:T14"/>
    <mergeCell ref="B13:B14"/>
    <mergeCell ref="E13:E14"/>
    <mergeCell ref="F13:F14"/>
    <mergeCell ref="G13:G14"/>
    <mergeCell ref="S13:S14"/>
    <mergeCell ref="H13:J13"/>
    <mergeCell ref="C13:C14"/>
    <mergeCell ref="C11:Q11"/>
  </mergeCells>
  <phoneticPr fontId="63" type="noConversion"/>
  <printOptions horizontalCentered="1"/>
  <pageMargins left="0.39370078740157483" right="0.39370078740157483" top="0.39370078740157483" bottom="0.98425196850393704" header="0.31496062992125984" footer="0.31496062992125984"/>
  <pageSetup paperSize="9" scale="54" orientation="landscape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ignoredErrors>
    <ignoredError sqref="J19 J16:J18" formulaRange="1"/>
    <ignoredError sqref="Q130 R130:S130" formula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>
    <tabColor theme="6"/>
  </sheetPr>
  <dimension ref="A1:K1294"/>
  <sheetViews>
    <sheetView showGridLines="0" view="pageBreakPreview" topLeftCell="A1017" zoomScaleNormal="100" zoomScaleSheetLayoutView="100" workbookViewId="0">
      <selection activeCell="K1036" sqref="K1036"/>
    </sheetView>
  </sheetViews>
  <sheetFormatPr defaultColWidth="16" defaultRowHeight="12.75" x14ac:dyDescent="0.25"/>
  <cols>
    <col min="1" max="1" width="0.85546875" style="85" customWidth="1"/>
    <col min="2" max="2" width="9.42578125" style="22" customWidth="1"/>
    <col min="3" max="3" width="8.42578125" style="22" customWidth="1"/>
    <col min="4" max="4" width="7.42578125" style="22" customWidth="1"/>
    <col min="5" max="5" width="73.42578125" style="103" customWidth="1"/>
    <col min="6" max="6" width="6.5703125" style="22" customWidth="1"/>
    <col min="7" max="7" width="9.140625" style="22" bestFit="1" customWidth="1"/>
    <col min="8" max="8" width="5.5703125" style="85" customWidth="1"/>
    <col min="9" max="9" width="11.42578125" style="85" customWidth="1"/>
    <col min="10" max="10" width="11.5703125" style="85" bestFit="1" customWidth="1"/>
    <col min="11" max="11" width="10" style="85" customWidth="1"/>
    <col min="12" max="16384" width="16" style="85"/>
  </cols>
  <sheetData>
    <row r="1" spans="1:11" s="21" customFormat="1" x14ac:dyDescent="0.25">
      <c r="B1" s="468" t="s">
        <v>336</v>
      </c>
      <c r="C1" s="469"/>
      <c r="D1" s="469"/>
      <c r="E1" s="469"/>
      <c r="F1" s="469"/>
      <c r="G1" s="469"/>
      <c r="H1" s="469"/>
      <c r="I1" s="469"/>
      <c r="J1" s="469"/>
    </row>
    <row r="2" spans="1:11" s="21" customFormat="1" x14ac:dyDescent="0.25">
      <c r="B2" s="469"/>
      <c r="C2" s="469"/>
      <c r="D2" s="469"/>
      <c r="E2" s="469"/>
      <c r="F2" s="469"/>
      <c r="G2" s="469"/>
      <c r="H2" s="469"/>
      <c r="I2" s="469"/>
      <c r="J2" s="469"/>
    </row>
    <row r="3" spans="1:11" s="21" customFormat="1" x14ac:dyDescent="0.25">
      <c r="B3" s="469"/>
      <c r="C3" s="469"/>
      <c r="D3" s="469"/>
      <c r="E3" s="469"/>
      <c r="F3" s="469"/>
      <c r="G3" s="469"/>
      <c r="H3" s="469"/>
      <c r="I3" s="469"/>
      <c r="J3" s="469"/>
    </row>
    <row r="4" spans="1:11" s="21" customFormat="1" x14ac:dyDescent="0.25">
      <c r="B4" s="469"/>
      <c r="C4" s="469"/>
      <c r="D4" s="469"/>
      <c r="E4" s="469"/>
      <c r="F4" s="469"/>
      <c r="G4" s="469"/>
      <c r="H4" s="469"/>
      <c r="I4" s="469"/>
      <c r="J4" s="469"/>
    </row>
    <row r="5" spans="1:11" s="21" customFormat="1" x14ac:dyDescent="0.25">
      <c r="B5" s="469"/>
      <c r="C5" s="469"/>
      <c r="D5" s="469"/>
      <c r="E5" s="469"/>
      <c r="F5" s="469"/>
      <c r="G5" s="469"/>
      <c r="H5" s="469"/>
      <c r="I5" s="469"/>
      <c r="J5" s="469"/>
    </row>
    <row r="6" spans="1:11" s="12" customFormat="1" ht="15" customHeight="1" x14ac:dyDescent="0.25">
      <c r="B6" s="8" t="s">
        <v>50</v>
      </c>
      <c r="C6" s="13" t="str">
        <f>'DADOS DA OBRA'!$B$13</f>
        <v>TRIBUNAL REGIONAL ELEITORAL - PIAUÍ</v>
      </c>
      <c r="D6" s="11"/>
      <c r="E6" s="144"/>
      <c r="F6" s="10" t="s">
        <v>146</v>
      </c>
      <c r="G6" s="11" t="str">
        <f>+'DADOS DA OBRA'!$N$25</f>
        <v>22/11/2021</v>
      </c>
      <c r="H6" s="21"/>
      <c r="I6" s="21"/>
      <c r="J6" s="10" t="s">
        <v>71</v>
      </c>
      <c r="K6" s="52">
        <f>+'DADOS DA OBRA'!$J$25</f>
        <v>1.1186</v>
      </c>
    </row>
    <row r="7" spans="1:11" s="12" customFormat="1" ht="15" customHeight="1" x14ac:dyDescent="0.25">
      <c r="B7" s="8" t="s">
        <v>69</v>
      </c>
      <c r="C7" s="13" t="str">
        <f>'DADOS DA OBRA'!$B$16</f>
        <v>ADEQUAÇÃO DE INSTALAÇÕES ELÉTRICAS E CABEAMENTO ESTRUTURADO - EDIFÍCIO SEDE</v>
      </c>
      <c r="D7" s="150"/>
      <c r="E7" s="145"/>
      <c r="F7" s="10" t="s">
        <v>52</v>
      </c>
      <c r="G7" s="11">
        <f>'DADOS DA OBRA'!$N$28</f>
        <v>44733</v>
      </c>
      <c r="H7" s="9"/>
      <c r="J7" s="10" t="s">
        <v>72</v>
      </c>
      <c r="K7" s="52">
        <f>+'DADOS DA OBRA'!$J$28</f>
        <v>0.70630000000000004</v>
      </c>
    </row>
    <row r="8" spans="1:11" s="12" customFormat="1" ht="15" customHeight="1" x14ac:dyDescent="0.25">
      <c r="B8" s="8" t="s">
        <v>53</v>
      </c>
      <c r="C8" s="9" t="str">
        <f>+""&amp;'DADOS DA OBRA'!$B$19&amp;", "&amp;'DADOS DA OBRA'!$J$22&amp;", "&amp;'DADOS DA OBRA'!$P$22</f>
        <v>PRAÇA EDGAR NOGUEIRA, TERESINA, PI</v>
      </c>
      <c r="D8" s="11"/>
      <c r="E8" s="146"/>
      <c r="F8" s="10" t="s">
        <v>147</v>
      </c>
      <c r="G8" s="11" t="str">
        <f>+'DADOS DA OBRA'!$B$28</f>
        <v>05 MESES</v>
      </c>
      <c r="J8" s="10" t="s">
        <v>140</v>
      </c>
      <c r="K8" s="52">
        <f>+'DADOS DA OBRA'!$F$25</f>
        <v>0.21960000000000002</v>
      </c>
    </row>
    <row r="9" spans="1:11" s="12" customFormat="1" ht="38.25" customHeight="1" x14ac:dyDescent="0.25">
      <c r="B9" s="8" t="s">
        <v>70</v>
      </c>
      <c r="C9" s="480" t="str">
        <f>+'DADOS DA OBRA'!$B$31</f>
        <v>SINAPI - 04/2022 - PIAUÍ   	SBC - 05/2022 - TSA - Teresina - PI  ORSE - 03/2022 - SERGIPE      ETOP - 03/2022 - Minas Gerais - Central SUDECAP - 02/2022 - MINAS GERAIS    CPOS - 02/2022 - São Paulo AGESUL - 01/2022 - MATO GROSSO DO SUL     GETOP CIVIL - 04/2022 - Goiás EMOP - 04/2022 - RIO DE JANEIRO</v>
      </c>
      <c r="D9" s="480"/>
      <c r="E9" s="480"/>
      <c r="F9" s="480"/>
      <c r="G9" s="480"/>
      <c r="H9" s="480"/>
      <c r="J9" s="10" t="s">
        <v>141</v>
      </c>
      <c r="K9" s="52">
        <f>+'DADOS DA OBRA'!$F$28</f>
        <v>0.1527</v>
      </c>
    </row>
    <row r="10" spans="1:11" s="20" customFormat="1" x14ac:dyDescent="0.25">
      <c r="D10" s="84"/>
      <c r="E10" s="148"/>
      <c r="F10" s="75"/>
      <c r="G10" s="149"/>
      <c r="H10" s="10"/>
      <c r="I10" s="147"/>
      <c r="J10" s="52"/>
      <c r="K10" s="78"/>
    </row>
    <row r="11" spans="1:11" ht="24.95" customHeight="1" x14ac:dyDescent="0.25">
      <c r="A11" s="304"/>
      <c r="B11" s="501" t="s">
        <v>1055</v>
      </c>
      <c r="C11" s="502"/>
      <c r="D11" s="502"/>
      <c r="E11" s="502"/>
      <c r="F11" s="502"/>
      <c r="G11" s="502"/>
      <c r="H11" s="502"/>
      <c r="I11" s="502"/>
      <c r="J11" s="502"/>
      <c r="K11" s="323"/>
    </row>
    <row r="12" spans="1:11" ht="15" x14ac:dyDescent="0.25">
      <c r="B12" s="503" t="s">
        <v>1299</v>
      </c>
      <c r="C12" s="504"/>
      <c r="D12" s="504"/>
      <c r="E12" s="504"/>
      <c r="F12" s="504"/>
      <c r="G12" s="504"/>
      <c r="H12" s="504"/>
      <c r="I12" s="504"/>
      <c r="J12" s="504"/>
      <c r="K12" s="504"/>
    </row>
    <row r="13" spans="1:11" ht="15" x14ac:dyDescent="0.25">
      <c r="B13" s="433" t="s">
        <v>117</v>
      </c>
      <c r="C13" s="361" t="s">
        <v>0</v>
      </c>
      <c r="D13" s="433" t="s">
        <v>185</v>
      </c>
      <c r="E13" s="433" t="s">
        <v>83</v>
      </c>
      <c r="F13" s="498" t="s">
        <v>1</v>
      </c>
      <c r="G13" s="498"/>
      <c r="H13" s="362" t="s">
        <v>3</v>
      </c>
      <c r="I13" s="361" t="s">
        <v>186</v>
      </c>
      <c r="J13" s="361" t="s">
        <v>187</v>
      </c>
      <c r="K13" s="361" t="s">
        <v>4</v>
      </c>
    </row>
    <row r="14" spans="1:11" ht="25.5" x14ac:dyDescent="0.25">
      <c r="B14" s="434" t="s">
        <v>7</v>
      </c>
      <c r="C14" s="363" t="s">
        <v>739</v>
      </c>
      <c r="D14" s="434" t="s">
        <v>31</v>
      </c>
      <c r="E14" s="434" t="s">
        <v>740</v>
      </c>
      <c r="F14" s="499" t="s">
        <v>188</v>
      </c>
      <c r="G14" s="499"/>
      <c r="H14" s="364" t="s">
        <v>120</v>
      </c>
      <c r="I14" s="365">
        <v>1</v>
      </c>
      <c r="J14" s="366">
        <v>16039.65</v>
      </c>
      <c r="K14" s="366">
        <v>16039.65</v>
      </c>
    </row>
    <row r="15" spans="1:11" ht="38.25" x14ac:dyDescent="0.25">
      <c r="B15" s="430" t="s">
        <v>189</v>
      </c>
      <c r="C15" s="367" t="s">
        <v>797</v>
      </c>
      <c r="D15" s="430" t="s">
        <v>31</v>
      </c>
      <c r="E15" s="430" t="s">
        <v>798</v>
      </c>
      <c r="F15" s="497" t="s">
        <v>188</v>
      </c>
      <c r="G15" s="497"/>
      <c r="H15" s="368" t="s">
        <v>120</v>
      </c>
      <c r="I15" s="369">
        <v>1</v>
      </c>
      <c r="J15" s="370">
        <v>323.94</v>
      </c>
      <c r="K15" s="370">
        <v>323.94</v>
      </c>
    </row>
    <row r="16" spans="1:11" ht="38.25" x14ac:dyDescent="0.25">
      <c r="B16" s="431" t="s">
        <v>190</v>
      </c>
      <c r="C16" s="371" t="s">
        <v>803</v>
      </c>
      <c r="D16" s="431" t="s">
        <v>31</v>
      </c>
      <c r="E16" s="431" t="s">
        <v>804</v>
      </c>
      <c r="F16" s="500" t="s">
        <v>191</v>
      </c>
      <c r="G16" s="500"/>
      <c r="H16" s="372" t="s">
        <v>120</v>
      </c>
      <c r="I16" s="373">
        <v>1</v>
      </c>
      <c r="J16" s="374">
        <v>15426.12</v>
      </c>
      <c r="K16" s="374">
        <v>15426.12</v>
      </c>
    </row>
    <row r="17" spans="2:11" ht="38.25" x14ac:dyDescent="0.25">
      <c r="B17" s="431" t="s">
        <v>190</v>
      </c>
      <c r="C17" s="371" t="s">
        <v>799</v>
      </c>
      <c r="D17" s="431" t="s">
        <v>31</v>
      </c>
      <c r="E17" s="431" t="s">
        <v>800</v>
      </c>
      <c r="F17" s="500" t="s">
        <v>192</v>
      </c>
      <c r="G17" s="500"/>
      <c r="H17" s="372" t="s">
        <v>120</v>
      </c>
      <c r="I17" s="373">
        <v>1</v>
      </c>
      <c r="J17" s="374">
        <v>123.54</v>
      </c>
      <c r="K17" s="374">
        <v>123.54</v>
      </c>
    </row>
    <row r="18" spans="2:11" ht="38.25" x14ac:dyDescent="0.25">
      <c r="B18" s="431" t="s">
        <v>190</v>
      </c>
      <c r="C18" s="371" t="s">
        <v>801</v>
      </c>
      <c r="D18" s="431" t="s">
        <v>31</v>
      </c>
      <c r="E18" s="431" t="s">
        <v>802</v>
      </c>
      <c r="F18" s="500" t="s">
        <v>192</v>
      </c>
      <c r="G18" s="500"/>
      <c r="H18" s="372" t="s">
        <v>120</v>
      </c>
      <c r="I18" s="373">
        <v>1</v>
      </c>
      <c r="J18" s="374">
        <v>1.9</v>
      </c>
      <c r="K18" s="374">
        <v>1.9</v>
      </c>
    </row>
    <row r="19" spans="2:11" ht="38.25" x14ac:dyDescent="0.25">
      <c r="B19" s="431" t="s">
        <v>190</v>
      </c>
      <c r="C19" s="371" t="s">
        <v>180</v>
      </c>
      <c r="D19" s="431" t="s">
        <v>31</v>
      </c>
      <c r="E19" s="431" t="s">
        <v>181</v>
      </c>
      <c r="F19" s="500" t="s">
        <v>199</v>
      </c>
      <c r="G19" s="500"/>
      <c r="H19" s="372" t="s">
        <v>120</v>
      </c>
      <c r="I19" s="373">
        <v>1</v>
      </c>
      <c r="J19" s="374">
        <v>152.35</v>
      </c>
      <c r="K19" s="374">
        <v>152.35</v>
      </c>
    </row>
    <row r="20" spans="2:11" ht="38.25" x14ac:dyDescent="0.25">
      <c r="B20" s="431" t="s">
        <v>190</v>
      </c>
      <c r="C20" s="371" t="s">
        <v>183</v>
      </c>
      <c r="D20" s="431" t="s">
        <v>31</v>
      </c>
      <c r="E20" s="431" t="s">
        <v>184</v>
      </c>
      <c r="F20" s="500" t="s">
        <v>199</v>
      </c>
      <c r="G20" s="500"/>
      <c r="H20" s="372" t="s">
        <v>120</v>
      </c>
      <c r="I20" s="373">
        <v>1</v>
      </c>
      <c r="J20" s="374">
        <v>11.8</v>
      </c>
      <c r="K20" s="374">
        <v>11.8</v>
      </c>
    </row>
    <row r="21" spans="2:11" ht="15" x14ac:dyDescent="0.25">
      <c r="B21" s="432"/>
      <c r="C21" s="432"/>
      <c r="D21" s="432"/>
      <c r="E21" s="432"/>
      <c r="F21" s="432"/>
      <c r="G21" s="375"/>
      <c r="H21" s="432"/>
      <c r="I21" s="375"/>
      <c r="J21" s="375"/>
      <c r="K21"/>
    </row>
    <row r="22" spans="2:11" ht="15.75" thickBot="1" x14ac:dyDescent="0.3">
      <c r="B22" s="432"/>
      <c r="C22" s="432"/>
      <c r="D22" s="432"/>
      <c r="E22" s="432"/>
      <c r="F22" s="432"/>
      <c r="G22" s="375"/>
      <c r="H22" s="432"/>
      <c r="I22" s="432"/>
      <c r="J22" s="375"/>
      <c r="K22"/>
    </row>
    <row r="23" spans="2:11" ht="13.5" thickTop="1" x14ac:dyDescent="0.25">
      <c r="B23" s="376"/>
      <c r="C23" s="376"/>
      <c r="D23" s="376"/>
      <c r="E23" s="376"/>
      <c r="F23" s="376"/>
      <c r="G23" s="376"/>
      <c r="H23" s="376"/>
      <c r="I23" s="376"/>
      <c r="J23" s="376"/>
      <c r="K23" s="376"/>
    </row>
    <row r="24" spans="2:11" ht="15" x14ac:dyDescent="0.25">
      <c r="B24" s="433" t="s">
        <v>118</v>
      </c>
      <c r="C24" s="361" t="s">
        <v>0</v>
      </c>
      <c r="D24" s="433" t="s">
        <v>185</v>
      </c>
      <c r="E24" s="433" t="s">
        <v>83</v>
      </c>
      <c r="F24" s="498" t="s">
        <v>1</v>
      </c>
      <c r="G24" s="498"/>
      <c r="H24" s="362" t="s">
        <v>3</v>
      </c>
      <c r="I24" s="361" t="s">
        <v>186</v>
      </c>
      <c r="J24" s="361" t="s">
        <v>187</v>
      </c>
      <c r="K24" s="361" t="s">
        <v>4</v>
      </c>
    </row>
    <row r="25" spans="2:11" ht="25.5" x14ac:dyDescent="0.25">
      <c r="B25" s="434" t="s">
        <v>7</v>
      </c>
      <c r="C25" s="363" t="s">
        <v>119</v>
      </c>
      <c r="D25" s="434" t="s">
        <v>31</v>
      </c>
      <c r="E25" s="434" t="s">
        <v>113</v>
      </c>
      <c r="F25" s="499" t="s">
        <v>188</v>
      </c>
      <c r="G25" s="499"/>
      <c r="H25" s="364" t="s">
        <v>120</v>
      </c>
      <c r="I25" s="365">
        <v>1</v>
      </c>
      <c r="J25" s="366">
        <v>4998.74</v>
      </c>
      <c r="K25" s="366">
        <v>4998.74</v>
      </c>
    </row>
    <row r="26" spans="2:11" ht="38.25" x14ac:dyDescent="0.25">
      <c r="B26" s="430" t="s">
        <v>189</v>
      </c>
      <c r="C26" s="367" t="s">
        <v>197</v>
      </c>
      <c r="D26" s="430" t="s">
        <v>31</v>
      </c>
      <c r="E26" s="430" t="s">
        <v>198</v>
      </c>
      <c r="F26" s="497" t="s">
        <v>188</v>
      </c>
      <c r="G26" s="497"/>
      <c r="H26" s="368" t="s">
        <v>120</v>
      </c>
      <c r="I26" s="369">
        <v>1</v>
      </c>
      <c r="J26" s="370">
        <v>59.64</v>
      </c>
      <c r="K26" s="370">
        <v>59.64</v>
      </c>
    </row>
    <row r="27" spans="2:11" ht="38.25" x14ac:dyDescent="0.25">
      <c r="B27" s="431" t="s">
        <v>190</v>
      </c>
      <c r="C27" s="371" t="s">
        <v>173</v>
      </c>
      <c r="D27" s="431" t="s">
        <v>31</v>
      </c>
      <c r="E27" s="431" t="s">
        <v>174</v>
      </c>
      <c r="F27" s="500" t="s">
        <v>191</v>
      </c>
      <c r="G27" s="500"/>
      <c r="H27" s="372" t="s">
        <v>120</v>
      </c>
      <c r="I27" s="373">
        <v>1</v>
      </c>
      <c r="J27" s="374">
        <v>4553.43</v>
      </c>
      <c r="K27" s="374">
        <v>4553.43</v>
      </c>
    </row>
    <row r="28" spans="2:11" ht="38.25" x14ac:dyDescent="0.25">
      <c r="B28" s="431" t="s">
        <v>190</v>
      </c>
      <c r="C28" s="371" t="s">
        <v>178</v>
      </c>
      <c r="D28" s="431" t="s">
        <v>31</v>
      </c>
      <c r="E28" s="431" t="s">
        <v>264</v>
      </c>
      <c r="F28" s="500" t="s">
        <v>192</v>
      </c>
      <c r="G28" s="500"/>
      <c r="H28" s="372" t="s">
        <v>120</v>
      </c>
      <c r="I28" s="373">
        <v>1</v>
      </c>
      <c r="J28" s="374">
        <v>202.94</v>
      </c>
      <c r="K28" s="374">
        <v>202.94</v>
      </c>
    </row>
    <row r="29" spans="2:11" ht="38.25" x14ac:dyDescent="0.25">
      <c r="B29" s="431" t="s">
        <v>190</v>
      </c>
      <c r="C29" s="371" t="s">
        <v>182</v>
      </c>
      <c r="D29" s="431" t="s">
        <v>31</v>
      </c>
      <c r="E29" s="431" t="s">
        <v>263</v>
      </c>
      <c r="F29" s="500" t="s">
        <v>192</v>
      </c>
      <c r="G29" s="500"/>
      <c r="H29" s="372" t="s">
        <v>120</v>
      </c>
      <c r="I29" s="373">
        <v>1</v>
      </c>
      <c r="J29" s="374">
        <v>18.579999999999998</v>
      </c>
      <c r="K29" s="374">
        <v>18.579999999999998</v>
      </c>
    </row>
    <row r="30" spans="2:11" ht="38.25" x14ac:dyDescent="0.25">
      <c r="B30" s="431" t="s">
        <v>190</v>
      </c>
      <c r="C30" s="371" t="s">
        <v>180</v>
      </c>
      <c r="D30" s="431" t="s">
        <v>31</v>
      </c>
      <c r="E30" s="431" t="s">
        <v>181</v>
      </c>
      <c r="F30" s="500" t="s">
        <v>199</v>
      </c>
      <c r="G30" s="500"/>
      <c r="H30" s="372" t="s">
        <v>120</v>
      </c>
      <c r="I30" s="373">
        <v>1</v>
      </c>
      <c r="J30" s="374">
        <v>152.35</v>
      </c>
      <c r="K30" s="374">
        <v>152.35</v>
      </c>
    </row>
    <row r="31" spans="2:11" ht="38.25" x14ac:dyDescent="0.25">
      <c r="B31" s="431" t="s">
        <v>190</v>
      </c>
      <c r="C31" s="371" t="s">
        <v>183</v>
      </c>
      <c r="D31" s="431" t="s">
        <v>31</v>
      </c>
      <c r="E31" s="431" t="s">
        <v>184</v>
      </c>
      <c r="F31" s="500" t="s">
        <v>199</v>
      </c>
      <c r="G31" s="500"/>
      <c r="H31" s="372" t="s">
        <v>120</v>
      </c>
      <c r="I31" s="373">
        <v>1</v>
      </c>
      <c r="J31" s="374">
        <v>11.8</v>
      </c>
      <c r="K31" s="374">
        <v>11.8</v>
      </c>
    </row>
    <row r="32" spans="2:11" ht="15" x14ac:dyDescent="0.25">
      <c r="B32" s="432"/>
      <c r="C32" s="432"/>
      <c r="D32" s="432"/>
      <c r="E32" s="432"/>
      <c r="F32" s="432"/>
      <c r="G32" s="375"/>
      <c r="H32" s="432"/>
      <c r="I32" s="375"/>
      <c r="J32" s="375"/>
      <c r="K32"/>
    </row>
    <row r="33" spans="2:11" ht="15.75" thickBot="1" x14ac:dyDescent="0.3">
      <c r="B33" s="432"/>
      <c r="C33" s="432"/>
      <c r="D33" s="432"/>
      <c r="E33" s="432"/>
      <c r="F33" s="432"/>
      <c r="G33" s="375"/>
      <c r="H33" s="432"/>
      <c r="I33" s="432"/>
      <c r="J33" s="375"/>
      <c r="K33"/>
    </row>
    <row r="34" spans="2:11" ht="13.5" thickTop="1" x14ac:dyDescent="0.25">
      <c r="B34" s="376"/>
      <c r="C34" s="376"/>
      <c r="D34" s="376"/>
      <c r="E34" s="376"/>
      <c r="F34" s="376"/>
      <c r="G34" s="376"/>
      <c r="H34" s="376"/>
      <c r="I34" s="376"/>
      <c r="J34" s="376"/>
      <c r="K34" s="376"/>
    </row>
    <row r="35" spans="2:11" ht="15" x14ac:dyDescent="0.25">
      <c r="B35" s="433" t="s">
        <v>268</v>
      </c>
      <c r="C35" s="361" t="s">
        <v>0</v>
      </c>
      <c r="D35" s="433" t="s">
        <v>185</v>
      </c>
      <c r="E35" s="433" t="s">
        <v>83</v>
      </c>
      <c r="F35" s="498" t="s">
        <v>1</v>
      </c>
      <c r="G35" s="498"/>
      <c r="H35" s="362" t="s">
        <v>3</v>
      </c>
      <c r="I35" s="361" t="s">
        <v>186</v>
      </c>
      <c r="J35" s="361" t="s">
        <v>187</v>
      </c>
      <c r="K35" s="361" t="s">
        <v>4</v>
      </c>
    </row>
    <row r="36" spans="2:11" ht="25.5" x14ac:dyDescent="0.25">
      <c r="B36" s="434" t="s">
        <v>7</v>
      </c>
      <c r="C36" s="363" t="s">
        <v>1056</v>
      </c>
      <c r="D36" s="434" t="s">
        <v>31</v>
      </c>
      <c r="E36" s="434" t="s">
        <v>1057</v>
      </c>
      <c r="F36" s="499" t="s">
        <v>188</v>
      </c>
      <c r="G36" s="499"/>
      <c r="H36" s="364" t="s">
        <v>120</v>
      </c>
      <c r="I36" s="365">
        <v>1</v>
      </c>
      <c r="J36" s="366">
        <v>5401.98</v>
      </c>
      <c r="K36" s="366">
        <v>5401.98</v>
      </c>
    </row>
    <row r="37" spans="2:11" ht="38.25" x14ac:dyDescent="0.25">
      <c r="B37" s="430" t="s">
        <v>189</v>
      </c>
      <c r="C37" s="367" t="s">
        <v>1058</v>
      </c>
      <c r="D37" s="430" t="s">
        <v>31</v>
      </c>
      <c r="E37" s="430" t="s">
        <v>1059</v>
      </c>
      <c r="F37" s="497" t="s">
        <v>188</v>
      </c>
      <c r="G37" s="497"/>
      <c r="H37" s="368" t="s">
        <v>120</v>
      </c>
      <c r="I37" s="369">
        <v>1</v>
      </c>
      <c r="J37" s="370">
        <v>55.96</v>
      </c>
      <c r="K37" s="370">
        <v>55.96</v>
      </c>
    </row>
    <row r="38" spans="2:11" ht="38.25" x14ac:dyDescent="0.25">
      <c r="B38" s="431" t="s">
        <v>190</v>
      </c>
      <c r="C38" s="371" t="s">
        <v>1060</v>
      </c>
      <c r="D38" s="431" t="s">
        <v>31</v>
      </c>
      <c r="E38" s="431" t="s">
        <v>1061</v>
      </c>
      <c r="F38" s="500" t="s">
        <v>192</v>
      </c>
      <c r="G38" s="500"/>
      <c r="H38" s="372" t="s">
        <v>120</v>
      </c>
      <c r="I38" s="373">
        <v>1</v>
      </c>
      <c r="J38" s="374">
        <v>130.43</v>
      </c>
      <c r="K38" s="374">
        <v>130.43</v>
      </c>
    </row>
    <row r="39" spans="2:11" ht="38.25" x14ac:dyDescent="0.25">
      <c r="B39" s="431" t="s">
        <v>190</v>
      </c>
      <c r="C39" s="371" t="s">
        <v>180</v>
      </c>
      <c r="D39" s="431" t="s">
        <v>31</v>
      </c>
      <c r="E39" s="431" t="s">
        <v>181</v>
      </c>
      <c r="F39" s="500" t="s">
        <v>199</v>
      </c>
      <c r="G39" s="500"/>
      <c r="H39" s="372" t="s">
        <v>120</v>
      </c>
      <c r="I39" s="373">
        <v>1</v>
      </c>
      <c r="J39" s="374">
        <v>152.35</v>
      </c>
      <c r="K39" s="374">
        <v>152.35</v>
      </c>
    </row>
    <row r="40" spans="2:11" ht="38.25" x14ac:dyDescent="0.25">
      <c r="B40" s="431" t="s">
        <v>190</v>
      </c>
      <c r="C40" s="371" t="s">
        <v>1062</v>
      </c>
      <c r="D40" s="431" t="s">
        <v>31</v>
      </c>
      <c r="E40" s="431" t="s">
        <v>1063</v>
      </c>
      <c r="F40" s="500" t="s">
        <v>192</v>
      </c>
      <c r="G40" s="500"/>
      <c r="H40" s="372" t="s">
        <v>120</v>
      </c>
      <c r="I40" s="373">
        <v>1</v>
      </c>
      <c r="J40" s="374">
        <v>9.2100000000000009</v>
      </c>
      <c r="K40" s="374">
        <v>9.2100000000000009</v>
      </c>
    </row>
    <row r="41" spans="2:11" ht="38.25" x14ac:dyDescent="0.25">
      <c r="B41" s="431" t="s">
        <v>190</v>
      </c>
      <c r="C41" s="371" t="s">
        <v>183</v>
      </c>
      <c r="D41" s="431" t="s">
        <v>31</v>
      </c>
      <c r="E41" s="431" t="s">
        <v>184</v>
      </c>
      <c r="F41" s="500" t="s">
        <v>199</v>
      </c>
      <c r="G41" s="500"/>
      <c r="H41" s="372" t="s">
        <v>120</v>
      </c>
      <c r="I41" s="373">
        <v>1</v>
      </c>
      <c r="J41" s="374">
        <v>11.8</v>
      </c>
      <c r="K41" s="374">
        <v>11.8</v>
      </c>
    </row>
    <row r="42" spans="2:11" ht="38.25" x14ac:dyDescent="0.25">
      <c r="B42" s="431" t="s">
        <v>190</v>
      </c>
      <c r="C42" s="371" t="s">
        <v>1064</v>
      </c>
      <c r="D42" s="431" t="s">
        <v>31</v>
      </c>
      <c r="E42" s="431" t="s">
        <v>1065</v>
      </c>
      <c r="F42" s="500" t="s">
        <v>191</v>
      </c>
      <c r="G42" s="500"/>
      <c r="H42" s="372" t="s">
        <v>120</v>
      </c>
      <c r="I42" s="373">
        <v>1</v>
      </c>
      <c r="J42" s="374">
        <v>5042.2299999999996</v>
      </c>
      <c r="K42" s="374">
        <v>5042.2299999999996</v>
      </c>
    </row>
    <row r="43" spans="2:11" ht="15" x14ac:dyDescent="0.25">
      <c r="B43" s="432"/>
      <c r="C43" s="432"/>
      <c r="D43" s="432"/>
      <c r="E43" s="432"/>
      <c r="F43" s="432"/>
      <c r="G43" s="375"/>
      <c r="H43" s="432"/>
      <c r="I43" s="375"/>
      <c r="J43" s="375"/>
      <c r="K43"/>
    </row>
    <row r="44" spans="2:11" ht="15.75" thickBot="1" x14ac:dyDescent="0.3">
      <c r="B44" s="432"/>
      <c r="C44" s="432"/>
      <c r="D44" s="432"/>
      <c r="E44" s="432"/>
      <c r="F44" s="432"/>
      <c r="G44" s="375"/>
      <c r="H44" s="432"/>
      <c r="I44" s="432"/>
      <c r="J44" s="375"/>
      <c r="K44"/>
    </row>
    <row r="45" spans="2:11" ht="13.5" thickTop="1" x14ac:dyDescent="0.25">
      <c r="B45" s="376"/>
      <c r="C45" s="376"/>
      <c r="D45" s="376"/>
      <c r="E45" s="376"/>
      <c r="F45" s="376"/>
      <c r="G45" s="376"/>
      <c r="H45" s="376"/>
      <c r="I45" s="376"/>
      <c r="J45" s="376"/>
      <c r="K45" s="376"/>
    </row>
    <row r="46" spans="2:11" ht="15" x14ac:dyDescent="0.25">
      <c r="B46" s="433" t="s">
        <v>121</v>
      </c>
      <c r="C46" s="361" t="s">
        <v>0</v>
      </c>
      <c r="D46" s="433" t="s">
        <v>185</v>
      </c>
      <c r="E46" s="433" t="s">
        <v>83</v>
      </c>
      <c r="F46" s="498" t="s">
        <v>1</v>
      </c>
      <c r="G46" s="498"/>
      <c r="H46" s="362" t="s">
        <v>3</v>
      </c>
      <c r="I46" s="361" t="s">
        <v>186</v>
      </c>
      <c r="J46" s="361" t="s">
        <v>187</v>
      </c>
      <c r="K46" s="361" t="s">
        <v>4</v>
      </c>
    </row>
    <row r="47" spans="2:11" ht="25.5" x14ac:dyDescent="0.25">
      <c r="B47" s="434" t="s">
        <v>7</v>
      </c>
      <c r="C47" s="363" t="s">
        <v>261</v>
      </c>
      <c r="D47" s="434" t="s">
        <v>125</v>
      </c>
      <c r="E47" s="434" t="s">
        <v>741</v>
      </c>
      <c r="F47" s="499" t="s">
        <v>200</v>
      </c>
      <c r="G47" s="499"/>
      <c r="H47" s="364" t="s">
        <v>120</v>
      </c>
      <c r="I47" s="365">
        <v>1</v>
      </c>
      <c r="J47" s="366">
        <v>859.37</v>
      </c>
      <c r="K47" s="366">
        <v>859.37</v>
      </c>
    </row>
    <row r="48" spans="2:11" ht="38.25" x14ac:dyDescent="0.25">
      <c r="B48" s="431" t="s">
        <v>190</v>
      </c>
      <c r="C48" s="371" t="s">
        <v>265</v>
      </c>
      <c r="D48" s="431" t="s">
        <v>31</v>
      </c>
      <c r="E48" s="431" t="s">
        <v>1066</v>
      </c>
      <c r="F48" s="500" t="s">
        <v>192</v>
      </c>
      <c r="G48" s="500"/>
      <c r="H48" s="372" t="s">
        <v>120</v>
      </c>
      <c r="I48" s="373">
        <v>1</v>
      </c>
      <c r="J48" s="374">
        <v>859.37</v>
      </c>
      <c r="K48" s="374">
        <v>859.37</v>
      </c>
    </row>
    <row r="49" spans="2:11" ht="38.25" x14ac:dyDescent="0.25">
      <c r="B49" s="432"/>
      <c r="C49" s="432"/>
      <c r="D49" s="432"/>
      <c r="E49" s="432"/>
      <c r="F49" s="432" t="s">
        <v>193</v>
      </c>
      <c r="G49" s="375">
        <v>0</v>
      </c>
      <c r="H49" s="432" t="s">
        <v>194</v>
      </c>
      <c r="I49" s="375">
        <v>0</v>
      </c>
      <c r="J49" s="375">
        <v>0</v>
      </c>
      <c r="K49"/>
    </row>
    <row r="50" spans="2:11" ht="39" thickBot="1" x14ac:dyDescent="0.3">
      <c r="B50" s="432"/>
      <c r="C50" s="432"/>
      <c r="D50" s="432"/>
      <c r="E50" s="432"/>
      <c r="F50" s="432" t="s">
        <v>195</v>
      </c>
      <c r="G50" s="375">
        <v>0</v>
      </c>
      <c r="H50" s="432"/>
      <c r="I50" s="432" t="s">
        <v>196</v>
      </c>
      <c r="J50" s="375">
        <v>859.37</v>
      </c>
      <c r="K50"/>
    </row>
    <row r="51" spans="2:11" ht="13.5" thickTop="1" x14ac:dyDescent="0.25">
      <c r="B51" s="376"/>
      <c r="C51" s="376"/>
      <c r="D51" s="376"/>
      <c r="E51" s="376"/>
      <c r="F51" s="376"/>
      <c r="G51" s="376"/>
      <c r="H51" s="376"/>
      <c r="I51" s="376"/>
      <c r="J51" s="376"/>
      <c r="K51" s="376"/>
    </row>
    <row r="52" spans="2:11" ht="15" x14ac:dyDescent="0.25">
      <c r="B52" s="433" t="s">
        <v>122</v>
      </c>
      <c r="C52" s="361" t="s">
        <v>0</v>
      </c>
      <c r="D52" s="433" t="s">
        <v>185</v>
      </c>
      <c r="E52" s="433" t="s">
        <v>83</v>
      </c>
      <c r="F52" s="498" t="s">
        <v>1</v>
      </c>
      <c r="G52" s="498"/>
      <c r="H52" s="362" t="s">
        <v>3</v>
      </c>
      <c r="I52" s="361" t="s">
        <v>186</v>
      </c>
      <c r="J52" s="361" t="s">
        <v>187</v>
      </c>
      <c r="K52" s="361" t="s">
        <v>4</v>
      </c>
    </row>
    <row r="53" spans="2:11" ht="25.5" x14ac:dyDescent="0.25">
      <c r="B53" s="434" t="s">
        <v>7</v>
      </c>
      <c r="C53" s="363" t="s">
        <v>262</v>
      </c>
      <c r="D53" s="434" t="s">
        <v>125</v>
      </c>
      <c r="E53" s="434" t="s">
        <v>742</v>
      </c>
      <c r="F53" s="499" t="s">
        <v>200</v>
      </c>
      <c r="G53" s="499"/>
      <c r="H53" s="364" t="s">
        <v>120</v>
      </c>
      <c r="I53" s="365">
        <v>1</v>
      </c>
      <c r="J53" s="366">
        <v>1100</v>
      </c>
      <c r="K53" s="366">
        <v>1100</v>
      </c>
    </row>
    <row r="54" spans="2:11" ht="38.25" x14ac:dyDescent="0.25">
      <c r="B54" s="431" t="s">
        <v>190</v>
      </c>
      <c r="C54" s="371" t="s">
        <v>805</v>
      </c>
      <c r="D54" s="431" t="s">
        <v>31</v>
      </c>
      <c r="E54" s="431" t="s">
        <v>1067</v>
      </c>
      <c r="F54" s="500" t="s">
        <v>192</v>
      </c>
      <c r="G54" s="500"/>
      <c r="H54" s="372" t="s">
        <v>120</v>
      </c>
      <c r="I54" s="373">
        <v>1</v>
      </c>
      <c r="J54" s="374">
        <v>1100</v>
      </c>
      <c r="K54" s="374">
        <v>1100</v>
      </c>
    </row>
    <row r="55" spans="2:11" ht="15" x14ac:dyDescent="0.25">
      <c r="B55" s="432"/>
      <c r="C55" s="432"/>
      <c r="D55" s="432"/>
      <c r="E55" s="432"/>
      <c r="F55" s="432"/>
      <c r="G55" s="375"/>
      <c r="H55" s="432"/>
      <c r="I55" s="375"/>
      <c r="J55" s="375"/>
      <c r="K55"/>
    </row>
    <row r="56" spans="2:11" ht="15.75" thickBot="1" x14ac:dyDescent="0.3">
      <c r="B56" s="432"/>
      <c r="C56" s="432"/>
      <c r="D56" s="432"/>
      <c r="E56" s="432"/>
      <c r="F56" s="432"/>
      <c r="G56" s="375"/>
      <c r="H56" s="432"/>
      <c r="I56" s="432"/>
      <c r="J56" s="375"/>
      <c r="K56"/>
    </row>
    <row r="57" spans="2:11" ht="13.5" thickTop="1" x14ac:dyDescent="0.25">
      <c r="B57" s="376"/>
      <c r="C57" s="376"/>
      <c r="D57" s="376"/>
      <c r="E57" s="376"/>
      <c r="F57" s="376"/>
      <c r="G57" s="376"/>
      <c r="H57" s="376"/>
      <c r="I57" s="376"/>
      <c r="J57" s="376"/>
      <c r="K57" s="376"/>
    </row>
    <row r="58" spans="2:11" ht="15" x14ac:dyDescent="0.25">
      <c r="B58" s="433" t="s">
        <v>123</v>
      </c>
      <c r="C58" s="361" t="s">
        <v>0</v>
      </c>
      <c r="D58" s="433" t="s">
        <v>185</v>
      </c>
      <c r="E58" s="433" t="s">
        <v>83</v>
      </c>
      <c r="F58" s="498" t="s">
        <v>1</v>
      </c>
      <c r="G58" s="498"/>
      <c r="H58" s="362" t="s">
        <v>3</v>
      </c>
      <c r="I58" s="361" t="s">
        <v>186</v>
      </c>
      <c r="J58" s="361" t="s">
        <v>187</v>
      </c>
      <c r="K58" s="361" t="s">
        <v>4</v>
      </c>
    </row>
    <row r="59" spans="2:11" ht="25.5" x14ac:dyDescent="0.25">
      <c r="B59" s="434" t="s">
        <v>7</v>
      </c>
      <c r="C59" s="363" t="s">
        <v>124</v>
      </c>
      <c r="D59" s="434" t="s">
        <v>125</v>
      </c>
      <c r="E59" s="434" t="s">
        <v>126</v>
      </c>
      <c r="F59" s="499" t="s">
        <v>200</v>
      </c>
      <c r="G59" s="499"/>
      <c r="H59" s="364" t="s">
        <v>127</v>
      </c>
      <c r="I59" s="365">
        <v>1</v>
      </c>
      <c r="J59" s="366">
        <v>10</v>
      </c>
      <c r="K59" s="366">
        <v>10</v>
      </c>
    </row>
    <row r="60" spans="2:11" ht="38.25" x14ac:dyDescent="0.25">
      <c r="B60" s="431" t="s">
        <v>190</v>
      </c>
      <c r="C60" s="371" t="s">
        <v>172</v>
      </c>
      <c r="D60" s="431" t="s">
        <v>31</v>
      </c>
      <c r="E60" s="431" t="s">
        <v>266</v>
      </c>
      <c r="F60" s="500" t="s">
        <v>192</v>
      </c>
      <c r="G60" s="500"/>
      <c r="H60" s="372" t="s">
        <v>127</v>
      </c>
      <c r="I60" s="373">
        <v>1</v>
      </c>
      <c r="J60" s="374">
        <v>10</v>
      </c>
      <c r="K60" s="374">
        <v>10</v>
      </c>
    </row>
    <row r="61" spans="2:11" ht="15" x14ac:dyDescent="0.25">
      <c r="B61" s="432"/>
      <c r="C61" s="432"/>
      <c r="D61" s="432"/>
      <c r="E61" s="432"/>
      <c r="F61" s="432"/>
      <c r="G61" s="375"/>
      <c r="H61" s="432"/>
      <c r="I61" s="375"/>
      <c r="J61" s="375"/>
      <c r="K61"/>
    </row>
    <row r="62" spans="2:11" ht="15.75" thickBot="1" x14ac:dyDescent="0.3">
      <c r="B62" s="432"/>
      <c r="C62" s="432"/>
      <c r="D62" s="432"/>
      <c r="E62" s="432"/>
      <c r="F62" s="432"/>
      <c r="G62" s="375"/>
      <c r="H62" s="432"/>
      <c r="I62" s="432"/>
      <c r="J62" s="375"/>
      <c r="K62"/>
    </row>
    <row r="63" spans="2:11" ht="13.5" thickTop="1" x14ac:dyDescent="0.25">
      <c r="B63" s="376"/>
      <c r="C63" s="376"/>
      <c r="D63" s="376"/>
      <c r="E63" s="376"/>
      <c r="F63" s="376"/>
      <c r="G63" s="376"/>
      <c r="H63" s="376"/>
      <c r="I63" s="376"/>
      <c r="J63" s="376"/>
      <c r="K63" s="376"/>
    </row>
    <row r="64" spans="2:11" ht="15" x14ac:dyDescent="0.25">
      <c r="B64" s="433" t="s">
        <v>250</v>
      </c>
      <c r="C64" s="361" t="s">
        <v>0</v>
      </c>
      <c r="D64" s="433" t="s">
        <v>185</v>
      </c>
      <c r="E64" s="433" t="s">
        <v>83</v>
      </c>
      <c r="F64" s="498" t="s">
        <v>1</v>
      </c>
      <c r="G64" s="498"/>
      <c r="H64" s="362" t="s">
        <v>3</v>
      </c>
      <c r="I64" s="361" t="s">
        <v>186</v>
      </c>
      <c r="J64" s="361" t="s">
        <v>187</v>
      </c>
      <c r="K64" s="361" t="s">
        <v>4</v>
      </c>
    </row>
    <row r="65" spans="2:11" ht="25.5" x14ac:dyDescent="0.25">
      <c r="B65" s="434" t="s">
        <v>7</v>
      </c>
      <c r="C65" s="363" t="s">
        <v>128</v>
      </c>
      <c r="D65" s="434" t="s">
        <v>31</v>
      </c>
      <c r="E65" s="434" t="s">
        <v>109</v>
      </c>
      <c r="F65" s="499" t="s">
        <v>188</v>
      </c>
      <c r="G65" s="499"/>
      <c r="H65" s="364" t="s">
        <v>8</v>
      </c>
      <c r="I65" s="365">
        <v>1</v>
      </c>
      <c r="J65" s="366">
        <v>5.42</v>
      </c>
      <c r="K65" s="366">
        <v>5.42</v>
      </c>
    </row>
    <row r="66" spans="2:11" ht="38.25" x14ac:dyDescent="0.25">
      <c r="B66" s="430" t="s">
        <v>189</v>
      </c>
      <c r="C66" s="367" t="s">
        <v>203</v>
      </c>
      <c r="D66" s="430" t="s">
        <v>31</v>
      </c>
      <c r="E66" s="430" t="s">
        <v>204</v>
      </c>
      <c r="F66" s="497" t="s">
        <v>188</v>
      </c>
      <c r="G66" s="497"/>
      <c r="H66" s="368" t="s">
        <v>205</v>
      </c>
      <c r="I66" s="369">
        <v>0.22500000000000001</v>
      </c>
      <c r="J66" s="370">
        <v>10.66</v>
      </c>
      <c r="K66" s="370">
        <v>2.39</v>
      </c>
    </row>
    <row r="67" spans="2:11" ht="38.25" x14ac:dyDescent="0.25">
      <c r="B67" s="430" t="s">
        <v>189</v>
      </c>
      <c r="C67" s="367" t="s">
        <v>206</v>
      </c>
      <c r="D67" s="430" t="s">
        <v>31</v>
      </c>
      <c r="E67" s="430" t="s">
        <v>207</v>
      </c>
      <c r="F67" s="497" t="s">
        <v>188</v>
      </c>
      <c r="G67" s="497"/>
      <c r="H67" s="368" t="s">
        <v>32</v>
      </c>
      <c r="I67" s="369">
        <v>0.13400000000000001</v>
      </c>
      <c r="J67" s="370">
        <v>19.239999999999998</v>
      </c>
      <c r="K67" s="370">
        <v>2.57</v>
      </c>
    </row>
    <row r="68" spans="2:11" ht="38.25" x14ac:dyDescent="0.25">
      <c r="B68" s="430" t="s">
        <v>189</v>
      </c>
      <c r="C68" s="367" t="s">
        <v>202</v>
      </c>
      <c r="D68" s="430" t="s">
        <v>31</v>
      </c>
      <c r="E68" s="430" t="s">
        <v>48</v>
      </c>
      <c r="F68" s="497" t="s">
        <v>188</v>
      </c>
      <c r="G68" s="497"/>
      <c r="H68" s="368" t="s">
        <v>32</v>
      </c>
      <c r="I68" s="369">
        <v>2.6800000000000001E-2</v>
      </c>
      <c r="J68" s="370">
        <v>17.43</v>
      </c>
      <c r="K68" s="370">
        <v>0.46</v>
      </c>
    </row>
    <row r="69" spans="2:11" ht="15" x14ac:dyDescent="0.25">
      <c r="B69" s="432"/>
      <c r="C69" s="432"/>
      <c r="D69" s="432"/>
      <c r="E69" s="432"/>
      <c r="F69" s="432"/>
      <c r="G69" s="375"/>
      <c r="H69" s="432"/>
      <c r="I69" s="375"/>
      <c r="J69" s="375"/>
      <c r="K69"/>
    </row>
    <row r="70" spans="2:11" ht="15.75" thickBot="1" x14ac:dyDescent="0.3">
      <c r="B70" s="432"/>
      <c r="C70" s="432"/>
      <c r="D70" s="432"/>
      <c r="E70" s="432"/>
      <c r="F70" s="432"/>
      <c r="G70" s="375"/>
      <c r="H70" s="432"/>
      <c r="I70" s="432"/>
      <c r="J70" s="375"/>
      <c r="K70"/>
    </row>
    <row r="71" spans="2:11" ht="13.5" thickTop="1" x14ac:dyDescent="0.25">
      <c r="B71" s="376"/>
      <c r="C71" s="376"/>
      <c r="D71" s="376"/>
      <c r="E71" s="376"/>
      <c r="F71" s="376"/>
      <c r="G71" s="376"/>
      <c r="H71" s="376"/>
      <c r="I71" s="376"/>
      <c r="J71" s="376"/>
      <c r="K71" s="376"/>
    </row>
    <row r="72" spans="2:11" ht="15" x14ac:dyDescent="0.25">
      <c r="B72" s="433" t="s">
        <v>251</v>
      </c>
      <c r="C72" s="361" t="s">
        <v>0</v>
      </c>
      <c r="D72" s="433" t="s">
        <v>185</v>
      </c>
      <c r="E72" s="433" t="s">
        <v>83</v>
      </c>
      <c r="F72" s="498" t="s">
        <v>1</v>
      </c>
      <c r="G72" s="498"/>
      <c r="H72" s="362" t="s">
        <v>3</v>
      </c>
      <c r="I72" s="361" t="s">
        <v>186</v>
      </c>
      <c r="J72" s="361" t="s">
        <v>187</v>
      </c>
      <c r="K72" s="361" t="s">
        <v>4</v>
      </c>
    </row>
    <row r="73" spans="2:11" ht="25.5" x14ac:dyDescent="0.25">
      <c r="B73" s="434" t="s">
        <v>7</v>
      </c>
      <c r="C73" s="363" t="s">
        <v>743</v>
      </c>
      <c r="D73" s="434" t="s">
        <v>125</v>
      </c>
      <c r="E73" s="434" t="s">
        <v>738</v>
      </c>
      <c r="F73" s="499" t="s">
        <v>200</v>
      </c>
      <c r="G73" s="499"/>
      <c r="H73" s="364" t="s">
        <v>2</v>
      </c>
      <c r="I73" s="365">
        <v>1</v>
      </c>
      <c r="J73" s="366">
        <v>329.66</v>
      </c>
      <c r="K73" s="366">
        <v>329.66</v>
      </c>
    </row>
    <row r="74" spans="2:11" ht="38.25" x14ac:dyDescent="0.25">
      <c r="B74" s="430" t="s">
        <v>189</v>
      </c>
      <c r="C74" s="367" t="s">
        <v>316</v>
      </c>
      <c r="D74" s="430" t="s">
        <v>31</v>
      </c>
      <c r="E74" s="430" t="s">
        <v>317</v>
      </c>
      <c r="F74" s="497" t="s">
        <v>188</v>
      </c>
      <c r="G74" s="497"/>
      <c r="H74" s="368" t="s">
        <v>32</v>
      </c>
      <c r="I74" s="369">
        <v>1</v>
      </c>
      <c r="J74" s="370">
        <v>22.1</v>
      </c>
      <c r="K74" s="370">
        <v>22.1</v>
      </c>
    </row>
    <row r="75" spans="2:11" ht="38.25" x14ac:dyDescent="0.25">
      <c r="B75" s="430" t="s">
        <v>189</v>
      </c>
      <c r="C75" s="367" t="s">
        <v>202</v>
      </c>
      <c r="D75" s="430" t="s">
        <v>31</v>
      </c>
      <c r="E75" s="430" t="s">
        <v>48</v>
      </c>
      <c r="F75" s="497" t="s">
        <v>188</v>
      </c>
      <c r="G75" s="497"/>
      <c r="H75" s="368" t="s">
        <v>32</v>
      </c>
      <c r="I75" s="369">
        <v>2</v>
      </c>
      <c r="J75" s="370">
        <v>17.43</v>
      </c>
      <c r="K75" s="370">
        <v>34.86</v>
      </c>
    </row>
    <row r="76" spans="2:11" ht="38.25" x14ac:dyDescent="0.25">
      <c r="B76" s="430" t="s">
        <v>189</v>
      </c>
      <c r="C76" s="367" t="s">
        <v>315</v>
      </c>
      <c r="D76" s="430" t="s">
        <v>31</v>
      </c>
      <c r="E76" s="430" t="s">
        <v>806</v>
      </c>
      <c r="F76" s="497" t="s">
        <v>201</v>
      </c>
      <c r="G76" s="497"/>
      <c r="H76" s="368" t="s">
        <v>8</v>
      </c>
      <c r="I76" s="369">
        <v>0.01</v>
      </c>
      <c r="J76" s="370">
        <v>396.46</v>
      </c>
      <c r="K76" s="370">
        <v>3.96</v>
      </c>
    </row>
    <row r="77" spans="2:11" ht="38.25" x14ac:dyDescent="0.25">
      <c r="B77" s="431" t="s">
        <v>190</v>
      </c>
      <c r="C77" s="371" t="s">
        <v>321</v>
      </c>
      <c r="D77" s="431" t="s">
        <v>31</v>
      </c>
      <c r="E77" s="431" t="s">
        <v>322</v>
      </c>
      <c r="F77" s="500" t="s">
        <v>199</v>
      </c>
      <c r="G77" s="500"/>
      <c r="H77" s="372" t="s">
        <v>35</v>
      </c>
      <c r="I77" s="373">
        <v>1</v>
      </c>
      <c r="J77" s="374">
        <v>3.67</v>
      </c>
      <c r="K77" s="374">
        <v>3.67</v>
      </c>
    </row>
    <row r="78" spans="2:11" ht="38.25" x14ac:dyDescent="0.25">
      <c r="B78" s="431" t="s">
        <v>190</v>
      </c>
      <c r="C78" s="371" t="s">
        <v>318</v>
      </c>
      <c r="D78" s="431" t="s">
        <v>31</v>
      </c>
      <c r="E78" s="431" t="s">
        <v>319</v>
      </c>
      <c r="F78" s="500" t="s">
        <v>199</v>
      </c>
      <c r="G78" s="500"/>
      <c r="H78" s="372" t="s">
        <v>35</v>
      </c>
      <c r="I78" s="373">
        <v>4</v>
      </c>
      <c r="J78" s="374">
        <v>9.41</v>
      </c>
      <c r="K78" s="374">
        <v>37.64</v>
      </c>
    </row>
    <row r="79" spans="2:11" ht="38.25" x14ac:dyDescent="0.25">
      <c r="B79" s="431" t="s">
        <v>190</v>
      </c>
      <c r="C79" s="371" t="s">
        <v>320</v>
      </c>
      <c r="D79" s="431" t="s">
        <v>31</v>
      </c>
      <c r="E79" s="431" t="s">
        <v>1068</v>
      </c>
      <c r="F79" s="500" t="s">
        <v>199</v>
      </c>
      <c r="G79" s="500"/>
      <c r="H79" s="372" t="s">
        <v>2</v>
      </c>
      <c r="I79" s="373">
        <v>1</v>
      </c>
      <c r="J79" s="374">
        <v>225</v>
      </c>
      <c r="K79" s="374">
        <v>225</v>
      </c>
    </row>
    <row r="80" spans="2:11" ht="38.25" x14ac:dyDescent="0.25">
      <c r="B80" s="431" t="s">
        <v>190</v>
      </c>
      <c r="C80" s="371" t="s">
        <v>215</v>
      </c>
      <c r="D80" s="431" t="s">
        <v>31</v>
      </c>
      <c r="E80" s="431" t="s">
        <v>216</v>
      </c>
      <c r="F80" s="500" t="s">
        <v>199</v>
      </c>
      <c r="G80" s="500"/>
      <c r="H80" s="372" t="s">
        <v>34</v>
      </c>
      <c r="I80" s="373">
        <v>0.11</v>
      </c>
      <c r="J80" s="374">
        <v>22.13</v>
      </c>
      <c r="K80" s="374">
        <v>2.4300000000000002</v>
      </c>
    </row>
    <row r="81" spans="2:11" ht="15" x14ac:dyDescent="0.25">
      <c r="B81" s="432"/>
      <c r="C81" s="432"/>
      <c r="D81" s="432"/>
      <c r="E81" s="432"/>
      <c r="F81" s="432"/>
      <c r="G81" s="375"/>
      <c r="H81" s="432"/>
      <c r="I81" s="375"/>
      <c r="J81" s="375"/>
      <c r="K81"/>
    </row>
    <row r="82" spans="2:11" ht="15.75" thickBot="1" x14ac:dyDescent="0.3">
      <c r="B82" s="432"/>
      <c r="C82" s="432"/>
      <c r="D82" s="432"/>
      <c r="E82" s="432"/>
      <c r="F82" s="432"/>
      <c r="G82" s="375"/>
      <c r="H82" s="432"/>
      <c r="I82" s="432"/>
      <c r="J82" s="375"/>
      <c r="K82"/>
    </row>
    <row r="83" spans="2:11" ht="13.5" thickTop="1" x14ac:dyDescent="0.25">
      <c r="B83" s="376"/>
      <c r="C83" s="376"/>
      <c r="D83" s="376"/>
      <c r="E83" s="376"/>
      <c r="F83" s="376"/>
      <c r="G83" s="376"/>
      <c r="H83" s="376"/>
      <c r="I83" s="376"/>
      <c r="J83" s="376"/>
      <c r="K83" s="376"/>
    </row>
    <row r="84" spans="2:11" ht="15" x14ac:dyDescent="0.25">
      <c r="B84" s="433" t="s">
        <v>1300</v>
      </c>
      <c r="C84" s="361" t="s">
        <v>0</v>
      </c>
      <c r="D84" s="433" t="s">
        <v>185</v>
      </c>
      <c r="E84" s="433" t="s">
        <v>83</v>
      </c>
      <c r="F84" s="498" t="s">
        <v>1</v>
      </c>
      <c r="G84" s="498"/>
      <c r="H84" s="362" t="s">
        <v>3</v>
      </c>
      <c r="I84" s="361" t="s">
        <v>186</v>
      </c>
      <c r="J84" s="361" t="s">
        <v>187</v>
      </c>
      <c r="K84" s="361" t="s">
        <v>4</v>
      </c>
    </row>
    <row r="85" spans="2:11" ht="25.5" x14ac:dyDescent="0.25">
      <c r="B85" s="434" t="s">
        <v>7</v>
      </c>
      <c r="C85" s="363" t="s">
        <v>1297</v>
      </c>
      <c r="D85" s="434" t="s">
        <v>125</v>
      </c>
      <c r="E85" s="434" t="s">
        <v>1298</v>
      </c>
      <c r="F85" s="499" t="s">
        <v>200</v>
      </c>
      <c r="G85" s="499"/>
      <c r="H85" s="364" t="s">
        <v>22</v>
      </c>
      <c r="I85" s="365">
        <v>1</v>
      </c>
      <c r="J85" s="366">
        <v>233.43</v>
      </c>
      <c r="K85" s="366">
        <v>233.43</v>
      </c>
    </row>
    <row r="86" spans="2:11" x14ac:dyDescent="0.25">
      <c r="B86" s="431" t="s">
        <v>190</v>
      </c>
      <c r="C86" s="371" t="s">
        <v>1301</v>
      </c>
      <c r="D86" s="431" t="s">
        <v>125</v>
      </c>
      <c r="E86" s="431" t="s">
        <v>1298</v>
      </c>
      <c r="F86" s="500" t="s">
        <v>1302</v>
      </c>
      <c r="G86" s="500"/>
      <c r="H86" s="372" t="s">
        <v>22</v>
      </c>
      <c r="I86" s="373">
        <v>1</v>
      </c>
      <c r="J86" s="374">
        <v>233.43</v>
      </c>
      <c r="K86" s="374">
        <v>233.43</v>
      </c>
    </row>
    <row r="87" spans="2:11" ht="15" x14ac:dyDescent="0.25">
      <c r="B87" s="432"/>
      <c r="C87" s="432"/>
      <c r="D87" s="432"/>
      <c r="E87" s="432"/>
      <c r="F87" s="432"/>
      <c r="G87" s="375"/>
      <c r="H87" s="432"/>
      <c r="I87" s="375"/>
      <c r="J87" s="375"/>
      <c r="K87"/>
    </row>
    <row r="88" spans="2:11" ht="15.75" thickBot="1" x14ac:dyDescent="0.3">
      <c r="B88" s="432"/>
      <c r="C88" s="432"/>
      <c r="D88" s="432"/>
      <c r="E88" s="432"/>
      <c r="F88" s="432"/>
      <c r="G88" s="375"/>
      <c r="H88" s="432"/>
      <c r="I88" s="432"/>
      <c r="J88" s="375"/>
      <c r="K88"/>
    </row>
    <row r="89" spans="2:11" ht="13.5" thickTop="1" x14ac:dyDescent="0.25">
      <c r="B89" s="376"/>
      <c r="C89" s="376"/>
      <c r="D89" s="376"/>
      <c r="E89" s="376"/>
      <c r="F89" s="376"/>
      <c r="G89" s="376"/>
      <c r="H89" s="376"/>
      <c r="I89" s="376"/>
      <c r="J89" s="376"/>
      <c r="K89" s="376"/>
    </row>
    <row r="90" spans="2:11" ht="15" x14ac:dyDescent="0.25">
      <c r="B90" s="433" t="s">
        <v>129</v>
      </c>
      <c r="C90" s="361" t="s">
        <v>0</v>
      </c>
      <c r="D90" s="433" t="s">
        <v>185</v>
      </c>
      <c r="E90" s="433" t="s">
        <v>83</v>
      </c>
      <c r="F90" s="498" t="s">
        <v>1</v>
      </c>
      <c r="G90" s="498"/>
      <c r="H90" s="362" t="s">
        <v>3</v>
      </c>
      <c r="I90" s="361" t="s">
        <v>186</v>
      </c>
      <c r="J90" s="361" t="s">
        <v>187</v>
      </c>
      <c r="K90" s="361" t="s">
        <v>4</v>
      </c>
    </row>
    <row r="91" spans="2:11" ht="25.5" x14ac:dyDescent="0.25">
      <c r="B91" s="434" t="s">
        <v>7</v>
      </c>
      <c r="C91" s="363" t="s">
        <v>744</v>
      </c>
      <c r="D91" s="434" t="s">
        <v>214</v>
      </c>
      <c r="E91" s="434" t="s">
        <v>731</v>
      </c>
      <c r="F91" s="499" t="s">
        <v>1303</v>
      </c>
      <c r="G91" s="499"/>
      <c r="H91" s="364" t="s">
        <v>2</v>
      </c>
      <c r="I91" s="365">
        <v>1</v>
      </c>
      <c r="J91" s="366">
        <v>11.65</v>
      </c>
      <c r="K91" s="366">
        <v>11.65</v>
      </c>
    </row>
    <row r="92" spans="2:11" ht="38.25" x14ac:dyDescent="0.25">
      <c r="B92" s="430" t="s">
        <v>189</v>
      </c>
      <c r="C92" s="367" t="s">
        <v>202</v>
      </c>
      <c r="D92" s="430" t="s">
        <v>31</v>
      </c>
      <c r="E92" s="430" t="s">
        <v>48</v>
      </c>
      <c r="F92" s="497" t="s">
        <v>188</v>
      </c>
      <c r="G92" s="497"/>
      <c r="H92" s="368" t="s">
        <v>32</v>
      </c>
      <c r="I92" s="369">
        <v>0.433</v>
      </c>
      <c r="J92" s="370">
        <v>17.43</v>
      </c>
      <c r="K92" s="370">
        <v>7.54</v>
      </c>
    </row>
    <row r="93" spans="2:11" ht="38.25" x14ac:dyDescent="0.25">
      <c r="B93" s="430" t="s">
        <v>189</v>
      </c>
      <c r="C93" s="367" t="s">
        <v>316</v>
      </c>
      <c r="D93" s="430" t="s">
        <v>31</v>
      </c>
      <c r="E93" s="430" t="s">
        <v>317</v>
      </c>
      <c r="F93" s="497" t="s">
        <v>188</v>
      </c>
      <c r="G93" s="497"/>
      <c r="H93" s="368" t="s">
        <v>32</v>
      </c>
      <c r="I93" s="369">
        <v>0.186</v>
      </c>
      <c r="J93" s="370">
        <v>22.1</v>
      </c>
      <c r="K93" s="370">
        <v>4.1100000000000003</v>
      </c>
    </row>
    <row r="94" spans="2:11" ht="15" x14ac:dyDescent="0.25">
      <c r="B94" s="432"/>
      <c r="C94" s="432"/>
      <c r="D94" s="432"/>
      <c r="E94" s="432"/>
      <c r="F94" s="432"/>
      <c r="G94" s="375"/>
      <c r="H94" s="432"/>
      <c r="I94" s="375"/>
      <c r="J94" s="375"/>
      <c r="K94"/>
    </row>
    <row r="95" spans="2:11" ht="15.75" thickBot="1" x14ac:dyDescent="0.3">
      <c r="B95" s="432"/>
      <c r="C95" s="432"/>
      <c r="D95" s="432"/>
      <c r="E95" s="432"/>
      <c r="F95" s="432"/>
      <c r="G95" s="375"/>
      <c r="H95" s="432"/>
      <c r="I95" s="432"/>
      <c r="J95" s="375"/>
      <c r="K95"/>
    </row>
    <row r="96" spans="2:11" ht="13.5" thickTop="1" x14ac:dyDescent="0.25">
      <c r="B96" s="376"/>
      <c r="C96" s="376"/>
      <c r="D96" s="376"/>
      <c r="E96" s="376"/>
      <c r="F96" s="376"/>
      <c r="G96" s="376"/>
      <c r="H96" s="376"/>
      <c r="I96" s="376"/>
      <c r="J96" s="376"/>
      <c r="K96" s="376"/>
    </row>
    <row r="97" spans="2:11" ht="15" x14ac:dyDescent="0.25">
      <c r="B97" s="433" t="s">
        <v>130</v>
      </c>
      <c r="C97" s="361" t="s">
        <v>0</v>
      </c>
      <c r="D97" s="433" t="s">
        <v>185</v>
      </c>
      <c r="E97" s="433" t="s">
        <v>83</v>
      </c>
      <c r="F97" s="498" t="s">
        <v>1</v>
      </c>
      <c r="G97" s="498"/>
      <c r="H97" s="362" t="s">
        <v>3</v>
      </c>
      <c r="I97" s="361" t="s">
        <v>186</v>
      </c>
      <c r="J97" s="361" t="s">
        <v>187</v>
      </c>
      <c r="K97" s="361" t="s">
        <v>4</v>
      </c>
    </row>
    <row r="98" spans="2:11" ht="25.5" x14ac:dyDescent="0.25">
      <c r="B98" s="434" t="s">
        <v>7</v>
      </c>
      <c r="C98" s="363" t="s">
        <v>409</v>
      </c>
      <c r="D98" s="434" t="s">
        <v>214</v>
      </c>
      <c r="E98" s="434" t="s">
        <v>410</v>
      </c>
      <c r="F98" s="499" t="s">
        <v>1304</v>
      </c>
      <c r="G98" s="499"/>
      <c r="H98" s="364" t="s">
        <v>22</v>
      </c>
      <c r="I98" s="365">
        <v>1</v>
      </c>
      <c r="J98" s="366">
        <v>350</v>
      </c>
      <c r="K98" s="366">
        <v>350</v>
      </c>
    </row>
    <row r="99" spans="2:11" x14ac:dyDescent="0.25">
      <c r="B99" s="431" t="s">
        <v>190</v>
      </c>
      <c r="C99" s="371" t="s">
        <v>412</v>
      </c>
      <c r="D99" s="431" t="s">
        <v>214</v>
      </c>
      <c r="E99" s="431" t="s">
        <v>413</v>
      </c>
      <c r="F99" s="500" t="s">
        <v>199</v>
      </c>
      <c r="G99" s="500"/>
      <c r="H99" s="372" t="s">
        <v>22</v>
      </c>
      <c r="I99" s="373">
        <v>1</v>
      </c>
      <c r="J99" s="374">
        <v>350</v>
      </c>
      <c r="K99" s="374">
        <v>350</v>
      </c>
    </row>
    <row r="100" spans="2:11" ht="15" x14ac:dyDescent="0.25">
      <c r="B100" s="432"/>
      <c r="C100" s="432"/>
      <c r="D100" s="432"/>
      <c r="E100" s="432"/>
      <c r="F100" s="432"/>
      <c r="G100" s="375"/>
      <c r="H100" s="432"/>
      <c r="I100" s="375"/>
      <c r="J100" s="375"/>
      <c r="K100"/>
    </row>
    <row r="101" spans="2:11" ht="15.75" thickBot="1" x14ac:dyDescent="0.3">
      <c r="B101" s="432"/>
      <c r="C101" s="432"/>
      <c r="D101" s="432"/>
      <c r="E101" s="432"/>
      <c r="F101" s="432"/>
      <c r="G101" s="375"/>
      <c r="H101" s="432"/>
      <c r="I101" s="432"/>
      <c r="J101" s="375"/>
      <c r="K101"/>
    </row>
    <row r="102" spans="2:11" ht="13.5" thickTop="1" x14ac:dyDescent="0.25">
      <c r="B102" s="376"/>
      <c r="C102" s="376"/>
      <c r="D102" s="376"/>
      <c r="E102" s="376"/>
      <c r="F102" s="376"/>
      <c r="G102" s="376"/>
      <c r="H102" s="376"/>
      <c r="I102" s="376"/>
      <c r="J102" s="376"/>
      <c r="K102" s="376"/>
    </row>
    <row r="103" spans="2:11" ht="15" x14ac:dyDescent="0.25">
      <c r="B103" s="433" t="s">
        <v>1519</v>
      </c>
      <c r="C103" s="361" t="s">
        <v>0</v>
      </c>
      <c r="D103" s="433" t="s">
        <v>185</v>
      </c>
      <c r="E103" s="433" t="s">
        <v>83</v>
      </c>
      <c r="F103" s="498" t="s">
        <v>1</v>
      </c>
      <c r="G103" s="498"/>
      <c r="H103" s="362" t="s">
        <v>3</v>
      </c>
      <c r="I103" s="361" t="s">
        <v>186</v>
      </c>
      <c r="J103" s="361" t="s">
        <v>187</v>
      </c>
      <c r="K103" s="361" t="s">
        <v>4</v>
      </c>
    </row>
    <row r="104" spans="2:11" ht="25.5" x14ac:dyDescent="0.25">
      <c r="B104" s="434" t="s">
        <v>7</v>
      </c>
      <c r="C104" s="363" t="s">
        <v>1340</v>
      </c>
      <c r="D104" s="434" t="s">
        <v>31</v>
      </c>
      <c r="E104" s="434" t="s">
        <v>1341</v>
      </c>
      <c r="F104" s="499" t="s">
        <v>1364</v>
      </c>
      <c r="G104" s="499"/>
      <c r="H104" s="364" t="s">
        <v>22</v>
      </c>
      <c r="I104" s="365">
        <v>1</v>
      </c>
      <c r="J104" s="366">
        <v>1.03</v>
      </c>
      <c r="K104" s="366">
        <v>1.03</v>
      </c>
    </row>
    <row r="105" spans="2:11" ht="38.25" x14ac:dyDescent="0.25">
      <c r="B105" s="430" t="s">
        <v>189</v>
      </c>
      <c r="C105" s="367" t="s">
        <v>220</v>
      </c>
      <c r="D105" s="430" t="s">
        <v>31</v>
      </c>
      <c r="E105" s="430" t="s">
        <v>221</v>
      </c>
      <c r="F105" s="497" t="s">
        <v>188</v>
      </c>
      <c r="G105" s="497"/>
      <c r="H105" s="368" t="s">
        <v>32</v>
      </c>
      <c r="I105" s="369">
        <v>1.83E-2</v>
      </c>
      <c r="J105" s="370">
        <v>22.58</v>
      </c>
      <c r="K105" s="370">
        <v>0.41</v>
      </c>
    </row>
    <row r="106" spans="2:11" ht="38.25" x14ac:dyDescent="0.25">
      <c r="B106" s="430" t="s">
        <v>189</v>
      </c>
      <c r="C106" s="367" t="s">
        <v>202</v>
      </c>
      <c r="D106" s="430" t="s">
        <v>31</v>
      </c>
      <c r="E106" s="430" t="s">
        <v>48</v>
      </c>
      <c r="F106" s="497" t="s">
        <v>188</v>
      </c>
      <c r="G106" s="497"/>
      <c r="H106" s="368" t="s">
        <v>32</v>
      </c>
      <c r="I106" s="369">
        <v>3.5900000000000001E-2</v>
      </c>
      <c r="J106" s="370">
        <v>17.43</v>
      </c>
      <c r="K106" s="370">
        <v>0.62</v>
      </c>
    </row>
    <row r="107" spans="2:11" ht="15" x14ac:dyDescent="0.25">
      <c r="B107" s="432"/>
      <c r="C107" s="432"/>
      <c r="D107" s="432"/>
      <c r="E107" s="432"/>
      <c r="F107" s="432"/>
      <c r="G107" s="375"/>
      <c r="H107" s="432"/>
      <c r="I107" s="375"/>
      <c r="J107" s="375"/>
      <c r="K107"/>
    </row>
    <row r="108" spans="2:11" ht="15.75" thickBot="1" x14ac:dyDescent="0.3">
      <c r="B108" s="432"/>
      <c r="C108" s="432"/>
      <c r="D108" s="432"/>
      <c r="E108" s="432"/>
      <c r="F108" s="432"/>
      <c r="G108" s="375"/>
      <c r="H108" s="432"/>
      <c r="I108" s="432"/>
      <c r="J108" s="375"/>
      <c r="K108"/>
    </row>
    <row r="109" spans="2:11" ht="13.5" thickTop="1" x14ac:dyDescent="0.25">
      <c r="B109" s="376"/>
      <c r="C109" s="376"/>
      <c r="D109" s="376"/>
      <c r="E109" s="376"/>
      <c r="F109" s="376"/>
      <c r="G109" s="376"/>
      <c r="H109" s="376"/>
      <c r="I109" s="376"/>
      <c r="J109" s="376"/>
      <c r="K109" s="376"/>
    </row>
    <row r="110" spans="2:11" ht="15" x14ac:dyDescent="0.25">
      <c r="B110" s="433" t="s">
        <v>1520</v>
      </c>
      <c r="C110" s="361" t="s">
        <v>0</v>
      </c>
      <c r="D110" s="433" t="s">
        <v>185</v>
      </c>
      <c r="E110" s="433" t="s">
        <v>83</v>
      </c>
      <c r="F110" s="498" t="s">
        <v>1</v>
      </c>
      <c r="G110" s="498"/>
      <c r="H110" s="362" t="s">
        <v>3</v>
      </c>
      <c r="I110" s="361" t="s">
        <v>186</v>
      </c>
      <c r="J110" s="361" t="s">
        <v>187</v>
      </c>
      <c r="K110" s="361" t="s">
        <v>4</v>
      </c>
    </row>
    <row r="111" spans="2:11" ht="38.25" x14ac:dyDescent="0.25">
      <c r="B111" s="434" t="s">
        <v>7</v>
      </c>
      <c r="C111" s="363" t="s">
        <v>1342</v>
      </c>
      <c r="D111" s="434" t="s">
        <v>267</v>
      </c>
      <c r="E111" s="434" t="s">
        <v>1343</v>
      </c>
      <c r="F111" s="499">
        <v>4.2</v>
      </c>
      <c r="G111" s="499"/>
      <c r="H111" s="364" t="s">
        <v>22</v>
      </c>
      <c r="I111" s="365">
        <v>1</v>
      </c>
      <c r="J111" s="366">
        <v>3.34</v>
      </c>
      <c r="K111" s="366">
        <v>3.34</v>
      </c>
    </row>
    <row r="112" spans="2:11" ht="38.25" x14ac:dyDescent="0.25">
      <c r="B112" s="431" t="s">
        <v>190</v>
      </c>
      <c r="C112" s="371" t="s">
        <v>1162</v>
      </c>
      <c r="D112" s="431" t="s">
        <v>267</v>
      </c>
      <c r="E112" s="431" t="s">
        <v>1163</v>
      </c>
      <c r="F112" s="500" t="s">
        <v>191</v>
      </c>
      <c r="G112" s="500"/>
      <c r="H112" s="372" t="s">
        <v>32</v>
      </c>
      <c r="I112" s="373">
        <v>0.2</v>
      </c>
      <c r="J112" s="374">
        <v>16.739999999999998</v>
      </c>
      <c r="K112" s="374">
        <v>3.34</v>
      </c>
    </row>
    <row r="113" spans="2:11" ht="15" x14ac:dyDescent="0.25">
      <c r="B113" s="432"/>
      <c r="C113" s="432"/>
      <c r="D113" s="432"/>
      <c r="E113" s="432"/>
      <c r="F113" s="432"/>
      <c r="G113" s="375"/>
      <c r="H113" s="432"/>
      <c r="I113" s="375"/>
      <c r="J113" s="375"/>
      <c r="K113"/>
    </row>
    <row r="114" spans="2:11" ht="15.75" thickBot="1" x14ac:dyDescent="0.3">
      <c r="B114" s="432"/>
      <c r="C114" s="432"/>
      <c r="D114" s="432"/>
      <c r="E114" s="432"/>
      <c r="F114" s="432"/>
      <c r="G114" s="375"/>
      <c r="H114" s="432"/>
      <c r="I114" s="432"/>
      <c r="J114" s="375"/>
      <c r="K114"/>
    </row>
    <row r="115" spans="2:11" ht="13.5" thickTop="1" x14ac:dyDescent="0.25">
      <c r="B115" s="376"/>
      <c r="C115" s="376"/>
      <c r="D115" s="376"/>
      <c r="E115" s="376"/>
      <c r="F115" s="376"/>
      <c r="G115" s="376"/>
      <c r="H115" s="376"/>
      <c r="I115" s="376"/>
      <c r="J115" s="376"/>
      <c r="K115" s="376"/>
    </row>
    <row r="116" spans="2:11" ht="15" x14ac:dyDescent="0.25">
      <c r="B116" s="433" t="s">
        <v>1521</v>
      </c>
      <c r="C116" s="361" t="s">
        <v>0</v>
      </c>
      <c r="D116" s="433" t="s">
        <v>185</v>
      </c>
      <c r="E116" s="433" t="s">
        <v>83</v>
      </c>
      <c r="F116" s="498" t="s">
        <v>1</v>
      </c>
      <c r="G116" s="498"/>
      <c r="H116" s="362" t="s">
        <v>3</v>
      </c>
      <c r="I116" s="361" t="s">
        <v>186</v>
      </c>
      <c r="J116" s="361" t="s">
        <v>187</v>
      </c>
      <c r="K116" s="361" t="s">
        <v>4</v>
      </c>
    </row>
    <row r="117" spans="2:11" ht="25.5" x14ac:dyDescent="0.25">
      <c r="B117" s="434" t="s">
        <v>7</v>
      </c>
      <c r="C117" s="363" t="s">
        <v>1344</v>
      </c>
      <c r="D117" s="434" t="s">
        <v>31</v>
      </c>
      <c r="E117" s="434" t="s">
        <v>1345</v>
      </c>
      <c r="F117" s="499" t="s">
        <v>1364</v>
      </c>
      <c r="G117" s="499"/>
      <c r="H117" s="364" t="s">
        <v>22</v>
      </c>
      <c r="I117" s="365">
        <v>1</v>
      </c>
      <c r="J117" s="366">
        <v>0.53</v>
      </c>
      <c r="K117" s="366">
        <v>0.53</v>
      </c>
    </row>
    <row r="118" spans="2:11" ht="38.25" x14ac:dyDescent="0.25">
      <c r="B118" s="430" t="s">
        <v>189</v>
      </c>
      <c r="C118" s="367" t="s">
        <v>220</v>
      </c>
      <c r="D118" s="430" t="s">
        <v>31</v>
      </c>
      <c r="E118" s="430" t="s">
        <v>221</v>
      </c>
      <c r="F118" s="497" t="s">
        <v>188</v>
      </c>
      <c r="G118" s="497"/>
      <c r="H118" s="368" t="s">
        <v>32</v>
      </c>
      <c r="I118" s="369">
        <v>9.4999999999999998E-3</v>
      </c>
      <c r="J118" s="370">
        <v>22.58</v>
      </c>
      <c r="K118" s="370">
        <v>0.21</v>
      </c>
    </row>
    <row r="119" spans="2:11" ht="38.25" x14ac:dyDescent="0.25">
      <c r="B119" s="430" t="s">
        <v>189</v>
      </c>
      <c r="C119" s="367" t="s">
        <v>202</v>
      </c>
      <c r="D119" s="430" t="s">
        <v>31</v>
      </c>
      <c r="E119" s="430" t="s">
        <v>48</v>
      </c>
      <c r="F119" s="497" t="s">
        <v>188</v>
      </c>
      <c r="G119" s="497"/>
      <c r="H119" s="368" t="s">
        <v>32</v>
      </c>
      <c r="I119" s="369">
        <v>1.8700000000000001E-2</v>
      </c>
      <c r="J119" s="370">
        <v>17.43</v>
      </c>
      <c r="K119" s="370">
        <v>0.32</v>
      </c>
    </row>
    <row r="120" spans="2:11" ht="15" x14ac:dyDescent="0.25">
      <c r="B120" s="432"/>
      <c r="C120" s="432"/>
      <c r="D120" s="432"/>
      <c r="E120" s="432"/>
      <c r="F120" s="432"/>
      <c r="G120" s="375"/>
      <c r="H120" s="432"/>
      <c r="I120" s="375"/>
      <c r="J120" s="375"/>
      <c r="K120"/>
    </row>
    <row r="121" spans="2:11" ht="15.75" thickBot="1" x14ac:dyDescent="0.3">
      <c r="B121" s="432"/>
      <c r="C121" s="432"/>
      <c r="D121" s="432"/>
      <c r="E121" s="432"/>
      <c r="F121" s="432"/>
      <c r="G121" s="375"/>
      <c r="H121" s="432"/>
      <c r="I121" s="432"/>
      <c r="J121" s="375"/>
      <c r="K121"/>
    </row>
    <row r="122" spans="2:11" ht="13.5" thickTop="1" x14ac:dyDescent="0.25">
      <c r="B122" s="376"/>
      <c r="C122" s="376"/>
      <c r="D122" s="376"/>
      <c r="E122" s="376"/>
      <c r="F122" s="376"/>
      <c r="G122" s="376"/>
      <c r="H122" s="376"/>
      <c r="I122" s="376"/>
      <c r="J122" s="376"/>
      <c r="K122" s="376"/>
    </row>
    <row r="123" spans="2:11" ht="15" x14ac:dyDescent="0.25">
      <c r="B123" s="433" t="s">
        <v>1522</v>
      </c>
      <c r="C123" s="361" t="s">
        <v>0</v>
      </c>
      <c r="D123" s="433" t="s">
        <v>185</v>
      </c>
      <c r="E123" s="433" t="s">
        <v>83</v>
      </c>
      <c r="F123" s="498" t="s">
        <v>1</v>
      </c>
      <c r="G123" s="498"/>
      <c r="H123" s="362" t="s">
        <v>3</v>
      </c>
      <c r="I123" s="361" t="s">
        <v>186</v>
      </c>
      <c r="J123" s="361" t="s">
        <v>187</v>
      </c>
      <c r="K123" s="361" t="s">
        <v>4</v>
      </c>
    </row>
    <row r="124" spans="2:11" ht="51" x14ac:dyDescent="0.25">
      <c r="B124" s="434" t="s">
        <v>7</v>
      </c>
      <c r="C124" s="363" t="s">
        <v>1412</v>
      </c>
      <c r="D124" s="434" t="s">
        <v>125</v>
      </c>
      <c r="E124" s="434" t="s">
        <v>1413</v>
      </c>
      <c r="F124" s="499" t="s">
        <v>1182</v>
      </c>
      <c r="G124" s="499"/>
      <c r="H124" s="364" t="s">
        <v>35</v>
      </c>
      <c r="I124" s="365">
        <v>1</v>
      </c>
      <c r="J124" s="366">
        <v>0.37</v>
      </c>
      <c r="K124" s="366">
        <v>0.37</v>
      </c>
    </row>
    <row r="125" spans="2:11" ht="38.25" x14ac:dyDescent="0.25">
      <c r="B125" s="430" t="s">
        <v>189</v>
      </c>
      <c r="C125" s="367" t="s">
        <v>220</v>
      </c>
      <c r="D125" s="430" t="s">
        <v>31</v>
      </c>
      <c r="E125" s="430" t="s">
        <v>221</v>
      </c>
      <c r="F125" s="497" t="s">
        <v>188</v>
      </c>
      <c r="G125" s="497"/>
      <c r="H125" s="368" t="s">
        <v>32</v>
      </c>
      <c r="I125" s="369">
        <v>9.5999999999999992E-3</v>
      </c>
      <c r="J125" s="370">
        <v>22.58</v>
      </c>
      <c r="K125" s="370">
        <v>0.21</v>
      </c>
    </row>
    <row r="126" spans="2:11" ht="38.25" x14ac:dyDescent="0.25">
      <c r="B126" s="430" t="s">
        <v>189</v>
      </c>
      <c r="C126" s="367" t="s">
        <v>202</v>
      </c>
      <c r="D126" s="430" t="s">
        <v>31</v>
      </c>
      <c r="E126" s="430" t="s">
        <v>48</v>
      </c>
      <c r="F126" s="497" t="s">
        <v>188</v>
      </c>
      <c r="G126" s="497"/>
      <c r="H126" s="368" t="s">
        <v>32</v>
      </c>
      <c r="I126" s="369">
        <v>9.5999999999999992E-3</v>
      </c>
      <c r="J126" s="370">
        <v>17.43</v>
      </c>
      <c r="K126" s="370">
        <v>0.16</v>
      </c>
    </row>
    <row r="127" spans="2:11" ht="15" x14ac:dyDescent="0.25">
      <c r="B127" s="432"/>
      <c r="C127" s="432"/>
      <c r="D127" s="432"/>
      <c r="E127" s="432"/>
      <c r="F127" s="432"/>
      <c r="G127" s="375"/>
      <c r="H127" s="432"/>
      <c r="I127" s="375"/>
      <c r="J127" s="375"/>
      <c r="K127"/>
    </row>
    <row r="128" spans="2:11" ht="15.75" thickBot="1" x14ac:dyDescent="0.3">
      <c r="B128" s="432"/>
      <c r="C128" s="432"/>
      <c r="D128" s="432"/>
      <c r="E128" s="432"/>
      <c r="F128" s="432"/>
      <c r="G128" s="375"/>
      <c r="H128" s="432"/>
      <c r="I128" s="432"/>
      <c r="J128" s="375"/>
      <c r="K128"/>
    </row>
    <row r="129" spans="2:11" ht="13.5" thickTop="1" x14ac:dyDescent="0.25">
      <c r="B129" s="376"/>
      <c r="C129" s="376"/>
      <c r="D129" s="376"/>
      <c r="E129" s="376"/>
      <c r="F129" s="376"/>
      <c r="G129" s="376"/>
      <c r="H129" s="376"/>
      <c r="I129" s="376"/>
      <c r="J129" s="376"/>
      <c r="K129" s="376"/>
    </row>
    <row r="130" spans="2:11" ht="15" x14ac:dyDescent="0.25">
      <c r="B130" s="433" t="s">
        <v>1523</v>
      </c>
      <c r="C130" s="361" t="s">
        <v>0</v>
      </c>
      <c r="D130" s="433" t="s">
        <v>185</v>
      </c>
      <c r="E130" s="433" t="s">
        <v>83</v>
      </c>
      <c r="F130" s="498" t="s">
        <v>1</v>
      </c>
      <c r="G130" s="498"/>
      <c r="H130" s="362" t="s">
        <v>3</v>
      </c>
      <c r="I130" s="361" t="s">
        <v>186</v>
      </c>
      <c r="J130" s="361" t="s">
        <v>187</v>
      </c>
      <c r="K130" s="361" t="s">
        <v>4</v>
      </c>
    </row>
    <row r="131" spans="2:11" ht="25.5" x14ac:dyDescent="0.25">
      <c r="B131" s="434" t="s">
        <v>7</v>
      </c>
      <c r="C131" s="363" t="s">
        <v>1346</v>
      </c>
      <c r="D131" s="434" t="s">
        <v>177</v>
      </c>
      <c r="E131" s="434" t="s">
        <v>1347</v>
      </c>
      <c r="F131" s="499" t="s">
        <v>1365</v>
      </c>
      <c r="G131" s="499"/>
      <c r="H131" s="364" t="s">
        <v>227</v>
      </c>
      <c r="I131" s="365">
        <v>1</v>
      </c>
      <c r="J131" s="366">
        <v>35.21</v>
      </c>
      <c r="K131" s="366">
        <v>35.21</v>
      </c>
    </row>
    <row r="132" spans="2:11" ht="38.25" x14ac:dyDescent="0.25">
      <c r="B132" s="430" t="s">
        <v>189</v>
      </c>
      <c r="C132" s="367" t="s">
        <v>1206</v>
      </c>
      <c r="D132" s="430" t="s">
        <v>177</v>
      </c>
      <c r="E132" s="430" t="s">
        <v>1207</v>
      </c>
      <c r="F132" s="497" t="s">
        <v>1125</v>
      </c>
      <c r="G132" s="497"/>
      <c r="H132" s="368" t="s">
        <v>1126</v>
      </c>
      <c r="I132" s="369">
        <v>1</v>
      </c>
      <c r="J132" s="370">
        <v>3.52</v>
      </c>
      <c r="K132" s="370">
        <v>3.52</v>
      </c>
    </row>
    <row r="133" spans="2:11" ht="38.25" x14ac:dyDescent="0.25">
      <c r="B133" s="430" t="s">
        <v>189</v>
      </c>
      <c r="C133" s="367" t="s">
        <v>1123</v>
      </c>
      <c r="D133" s="430" t="s">
        <v>177</v>
      </c>
      <c r="E133" s="430" t="s">
        <v>1124</v>
      </c>
      <c r="F133" s="497" t="s">
        <v>1125</v>
      </c>
      <c r="G133" s="497"/>
      <c r="H133" s="368" t="s">
        <v>1126</v>
      </c>
      <c r="I133" s="369">
        <v>1</v>
      </c>
      <c r="J133" s="370">
        <v>3.63</v>
      </c>
      <c r="K133" s="370">
        <v>3.63</v>
      </c>
    </row>
    <row r="134" spans="2:11" ht="38.25" x14ac:dyDescent="0.25">
      <c r="B134" s="431" t="s">
        <v>190</v>
      </c>
      <c r="C134" s="371" t="s">
        <v>176</v>
      </c>
      <c r="D134" s="431" t="s">
        <v>31</v>
      </c>
      <c r="E134" s="431" t="s">
        <v>1208</v>
      </c>
      <c r="F134" s="500" t="s">
        <v>191</v>
      </c>
      <c r="G134" s="500"/>
      <c r="H134" s="372" t="s">
        <v>32</v>
      </c>
      <c r="I134" s="373">
        <v>1</v>
      </c>
      <c r="J134" s="374">
        <v>16.39</v>
      </c>
      <c r="K134" s="374">
        <v>16.39</v>
      </c>
    </row>
    <row r="135" spans="2:11" ht="38.25" x14ac:dyDescent="0.25">
      <c r="B135" s="431" t="s">
        <v>190</v>
      </c>
      <c r="C135" s="371" t="s">
        <v>175</v>
      </c>
      <c r="D135" s="431" t="s">
        <v>31</v>
      </c>
      <c r="E135" s="431" t="s">
        <v>47</v>
      </c>
      <c r="F135" s="500" t="s">
        <v>191</v>
      </c>
      <c r="G135" s="500"/>
      <c r="H135" s="372" t="s">
        <v>32</v>
      </c>
      <c r="I135" s="373">
        <v>1</v>
      </c>
      <c r="J135" s="374">
        <v>11.67</v>
      </c>
      <c r="K135" s="374">
        <v>11.67</v>
      </c>
    </row>
    <row r="136" spans="2:11" ht="15" x14ac:dyDescent="0.25">
      <c r="B136" s="432"/>
      <c r="C136" s="432"/>
      <c r="D136" s="432"/>
      <c r="E136" s="432"/>
      <c r="F136" s="432"/>
      <c r="G136" s="375"/>
      <c r="H136" s="432"/>
      <c r="I136" s="375"/>
      <c r="J136" s="375"/>
      <c r="K136"/>
    </row>
    <row r="137" spans="2:11" ht="15.75" thickBot="1" x14ac:dyDescent="0.3">
      <c r="B137" s="432"/>
      <c r="C137" s="432"/>
      <c r="D137" s="432"/>
      <c r="E137" s="432"/>
      <c r="F137" s="432"/>
      <c r="G137" s="375"/>
      <c r="H137" s="432"/>
      <c r="I137" s="432"/>
      <c r="J137" s="375"/>
      <c r="K137"/>
    </row>
    <row r="138" spans="2:11" ht="13.5" thickTop="1" x14ac:dyDescent="0.25">
      <c r="B138" s="376"/>
      <c r="C138" s="376"/>
      <c r="D138" s="376"/>
      <c r="E138" s="376"/>
      <c r="F138" s="376"/>
      <c r="G138" s="376"/>
      <c r="H138" s="376"/>
      <c r="I138" s="376"/>
      <c r="J138" s="376"/>
      <c r="K138" s="376"/>
    </row>
    <row r="139" spans="2:11" ht="15" x14ac:dyDescent="0.25">
      <c r="B139" s="433" t="s">
        <v>1524</v>
      </c>
      <c r="C139" s="361" t="s">
        <v>0</v>
      </c>
      <c r="D139" s="433" t="s">
        <v>185</v>
      </c>
      <c r="E139" s="433" t="s">
        <v>83</v>
      </c>
      <c r="F139" s="498" t="s">
        <v>1</v>
      </c>
      <c r="G139" s="498"/>
      <c r="H139" s="362" t="s">
        <v>3</v>
      </c>
      <c r="I139" s="361" t="s">
        <v>186</v>
      </c>
      <c r="J139" s="361" t="s">
        <v>187</v>
      </c>
      <c r="K139" s="361" t="s">
        <v>4</v>
      </c>
    </row>
    <row r="140" spans="2:11" ht="25.5" x14ac:dyDescent="0.25">
      <c r="B140" s="434" t="s">
        <v>7</v>
      </c>
      <c r="C140" s="363" t="s">
        <v>1398</v>
      </c>
      <c r="D140" s="434" t="s">
        <v>31</v>
      </c>
      <c r="E140" s="434" t="s">
        <v>1399</v>
      </c>
      <c r="F140" s="499" t="s">
        <v>238</v>
      </c>
      <c r="G140" s="499"/>
      <c r="H140" s="364" t="s">
        <v>35</v>
      </c>
      <c r="I140" s="365">
        <v>1</v>
      </c>
      <c r="J140" s="366">
        <v>5.49</v>
      </c>
      <c r="K140" s="366">
        <v>5.49</v>
      </c>
    </row>
    <row r="141" spans="2:11" ht="38.25" x14ac:dyDescent="0.25">
      <c r="B141" s="430" t="s">
        <v>189</v>
      </c>
      <c r="C141" s="367" t="s">
        <v>218</v>
      </c>
      <c r="D141" s="430" t="s">
        <v>31</v>
      </c>
      <c r="E141" s="430" t="s">
        <v>219</v>
      </c>
      <c r="F141" s="497" t="s">
        <v>188</v>
      </c>
      <c r="G141" s="497"/>
      <c r="H141" s="368" t="s">
        <v>32</v>
      </c>
      <c r="I141" s="369">
        <v>3.4000000000000002E-2</v>
      </c>
      <c r="J141" s="370">
        <v>18.48</v>
      </c>
      <c r="K141" s="370">
        <v>0.62</v>
      </c>
    </row>
    <row r="142" spans="2:11" ht="38.25" x14ac:dyDescent="0.25">
      <c r="B142" s="430" t="s">
        <v>189</v>
      </c>
      <c r="C142" s="367" t="s">
        <v>220</v>
      </c>
      <c r="D142" s="430" t="s">
        <v>31</v>
      </c>
      <c r="E142" s="430" t="s">
        <v>221</v>
      </c>
      <c r="F142" s="497" t="s">
        <v>188</v>
      </c>
      <c r="G142" s="497"/>
      <c r="H142" s="368" t="s">
        <v>32</v>
      </c>
      <c r="I142" s="369">
        <v>0.216</v>
      </c>
      <c r="J142" s="370">
        <v>22.58</v>
      </c>
      <c r="K142" s="370">
        <v>4.87</v>
      </c>
    </row>
    <row r="143" spans="2:11" ht="15" x14ac:dyDescent="0.25">
      <c r="B143" s="432"/>
      <c r="C143" s="432"/>
      <c r="D143" s="432"/>
      <c r="E143" s="432"/>
      <c r="F143" s="432"/>
      <c r="G143" s="375"/>
      <c r="H143" s="432"/>
      <c r="I143" s="375"/>
      <c r="J143" s="375"/>
      <c r="K143"/>
    </row>
    <row r="144" spans="2:11" ht="15.75" thickBot="1" x14ac:dyDescent="0.3">
      <c r="B144" s="432"/>
      <c r="C144" s="432"/>
      <c r="D144" s="432"/>
      <c r="E144" s="432"/>
      <c r="F144" s="432"/>
      <c r="G144" s="375"/>
      <c r="H144" s="432"/>
      <c r="I144" s="432"/>
      <c r="J144" s="375"/>
      <c r="K144"/>
    </row>
    <row r="145" spans="2:11" ht="13.5" thickTop="1" x14ac:dyDescent="0.25">
      <c r="B145" s="376"/>
      <c r="C145" s="376"/>
      <c r="D145" s="376"/>
      <c r="E145" s="376"/>
      <c r="F145" s="376"/>
      <c r="G145" s="376"/>
      <c r="H145" s="376"/>
      <c r="I145" s="376"/>
      <c r="J145" s="376"/>
      <c r="K145" s="376"/>
    </row>
    <row r="146" spans="2:11" ht="15" x14ac:dyDescent="0.25">
      <c r="B146" s="433" t="s">
        <v>1525</v>
      </c>
      <c r="C146" s="361" t="s">
        <v>0</v>
      </c>
      <c r="D146" s="433" t="s">
        <v>185</v>
      </c>
      <c r="E146" s="433" t="s">
        <v>83</v>
      </c>
      <c r="F146" s="498" t="s">
        <v>1</v>
      </c>
      <c r="G146" s="498"/>
      <c r="H146" s="362" t="s">
        <v>3</v>
      </c>
      <c r="I146" s="361" t="s">
        <v>186</v>
      </c>
      <c r="J146" s="361" t="s">
        <v>187</v>
      </c>
      <c r="K146" s="361" t="s">
        <v>4</v>
      </c>
    </row>
    <row r="147" spans="2:11" ht="25.5" x14ac:dyDescent="0.25">
      <c r="B147" s="434" t="s">
        <v>7</v>
      </c>
      <c r="C147" s="363" t="s">
        <v>1421</v>
      </c>
      <c r="D147" s="434" t="s">
        <v>31</v>
      </c>
      <c r="E147" s="434" t="s">
        <v>1422</v>
      </c>
      <c r="F147" s="499" t="s">
        <v>1364</v>
      </c>
      <c r="G147" s="499"/>
      <c r="H147" s="364" t="s">
        <v>2</v>
      </c>
      <c r="I147" s="365">
        <v>1</v>
      </c>
      <c r="J147" s="366">
        <v>3.98</v>
      </c>
      <c r="K147" s="366">
        <v>3.98</v>
      </c>
    </row>
    <row r="148" spans="2:11" ht="38.25" x14ac:dyDescent="0.25">
      <c r="B148" s="430" t="s">
        <v>189</v>
      </c>
      <c r="C148" s="367" t="s">
        <v>1526</v>
      </c>
      <c r="D148" s="430" t="s">
        <v>31</v>
      </c>
      <c r="E148" s="430" t="s">
        <v>1527</v>
      </c>
      <c r="F148" s="497" t="s">
        <v>188</v>
      </c>
      <c r="G148" s="497"/>
      <c r="H148" s="368" t="s">
        <v>32</v>
      </c>
      <c r="I148" s="369">
        <v>7.1300000000000002E-2</v>
      </c>
      <c r="J148" s="370">
        <v>21.64</v>
      </c>
      <c r="K148" s="370">
        <v>1.54</v>
      </c>
    </row>
    <row r="149" spans="2:11" ht="38.25" x14ac:dyDescent="0.25">
      <c r="B149" s="430" t="s">
        <v>189</v>
      </c>
      <c r="C149" s="367" t="s">
        <v>202</v>
      </c>
      <c r="D149" s="430" t="s">
        <v>31</v>
      </c>
      <c r="E149" s="430" t="s">
        <v>48</v>
      </c>
      <c r="F149" s="497" t="s">
        <v>188</v>
      </c>
      <c r="G149" s="497"/>
      <c r="H149" s="368" t="s">
        <v>32</v>
      </c>
      <c r="I149" s="369">
        <v>0.1401</v>
      </c>
      <c r="J149" s="370">
        <v>17.43</v>
      </c>
      <c r="K149" s="370">
        <v>2.44</v>
      </c>
    </row>
    <row r="150" spans="2:11" ht="15" x14ac:dyDescent="0.25">
      <c r="B150" s="432"/>
      <c r="C150" s="432"/>
      <c r="D150" s="432"/>
      <c r="E150" s="432"/>
      <c r="F150" s="432"/>
      <c r="G150" s="375"/>
      <c r="H150" s="432"/>
      <c r="I150" s="375"/>
      <c r="J150" s="375"/>
      <c r="K150"/>
    </row>
    <row r="151" spans="2:11" ht="15.75" thickBot="1" x14ac:dyDescent="0.3">
      <c r="B151" s="432"/>
      <c r="C151" s="432"/>
      <c r="D151" s="432"/>
      <c r="E151" s="432"/>
      <c r="F151" s="432"/>
      <c r="G151" s="375"/>
      <c r="H151" s="432"/>
      <c r="I151" s="432"/>
      <c r="J151" s="375"/>
      <c r="K151"/>
    </row>
    <row r="152" spans="2:11" ht="13.5" thickTop="1" x14ac:dyDescent="0.25">
      <c r="B152" s="376"/>
      <c r="C152" s="376"/>
      <c r="D152" s="376"/>
      <c r="E152" s="376"/>
      <c r="F152" s="376"/>
      <c r="G152" s="376"/>
      <c r="H152" s="376"/>
      <c r="I152" s="376"/>
      <c r="J152" s="376"/>
      <c r="K152" s="376"/>
    </row>
    <row r="153" spans="2:11" ht="15" x14ac:dyDescent="0.25">
      <c r="B153" s="433" t="s">
        <v>1528</v>
      </c>
      <c r="C153" s="361" t="s">
        <v>0</v>
      </c>
      <c r="D153" s="433" t="s">
        <v>185</v>
      </c>
      <c r="E153" s="433" t="s">
        <v>83</v>
      </c>
      <c r="F153" s="498" t="s">
        <v>1</v>
      </c>
      <c r="G153" s="498"/>
      <c r="H153" s="362" t="s">
        <v>3</v>
      </c>
      <c r="I153" s="361" t="s">
        <v>186</v>
      </c>
      <c r="J153" s="361" t="s">
        <v>187</v>
      </c>
      <c r="K153" s="361" t="s">
        <v>4</v>
      </c>
    </row>
    <row r="154" spans="2:11" ht="25.5" x14ac:dyDescent="0.25">
      <c r="B154" s="434" t="s">
        <v>7</v>
      </c>
      <c r="C154" s="363" t="s">
        <v>1502</v>
      </c>
      <c r="D154" s="434" t="s">
        <v>31</v>
      </c>
      <c r="E154" s="434" t="s">
        <v>1503</v>
      </c>
      <c r="F154" s="499" t="s">
        <v>1529</v>
      </c>
      <c r="G154" s="499"/>
      <c r="H154" s="364" t="s">
        <v>8</v>
      </c>
      <c r="I154" s="365">
        <v>1</v>
      </c>
      <c r="J154" s="366">
        <v>68.95</v>
      </c>
      <c r="K154" s="366">
        <v>68.95</v>
      </c>
    </row>
    <row r="155" spans="2:11" ht="38.25" x14ac:dyDescent="0.25">
      <c r="B155" s="430" t="s">
        <v>189</v>
      </c>
      <c r="C155" s="367" t="s">
        <v>202</v>
      </c>
      <c r="D155" s="430" t="s">
        <v>31</v>
      </c>
      <c r="E155" s="430" t="s">
        <v>48</v>
      </c>
      <c r="F155" s="497" t="s">
        <v>188</v>
      </c>
      <c r="G155" s="497"/>
      <c r="H155" s="368" t="s">
        <v>32</v>
      </c>
      <c r="I155" s="369">
        <v>3.956</v>
      </c>
      <c r="J155" s="370">
        <v>17.43</v>
      </c>
      <c r="K155" s="370">
        <v>68.95</v>
      </c>
    </row>
    <row r="156" spans="2:11" ht="15" x14ac:dyDescent="0.25">
      <c r="B156" s="432"/>
      <c r="C156" s="432"/>
      <c r="D156" s="432"/>
      <c r="E156" s="432"/>
      <c r="F156" s="432"/>
      <c r="G156" s="375"/>
      <c r="H156" s="432"/>
      <c r="I156" s="375"/>
      <c r="J156" s="375"/>
      <c r="K156"/>
    </row>
    <row r="157" spans="2:11" ht="15.75" thickBot="1" x14ac:dyDescent="0.3">
      <c r="B157" s="432"/>
      <c r="C157" s="432"/>
      <c r="D157" s="432"/>
      <c r="E157" s="432"/>
      <c r="F157" s="432"/>
      <c r="G157" s="375"/>
      <c r="H157" s="432"/>
      <c r="I157" s="432"/>
      <c r="J157" s="375"/>
      <c r="K157"/>
    </row>
    <row r="158" spans="2:11" ht="13.5" thickTop="1" x14ac:dyDescent="0.25">
      <c r="B158" s="376"/>
      <c r="C158" s="376"/>
      <c r="D158" s="376"/>
      <c r="E158" s="376"/>
      <c r="F158" s="376"/>
      <c r="G158" s="376"/>
      <c r="H158" s="376"/>
      <c r="I158" s="376"/>
      <c r="J158" s="376"/>
      <c r="K158" s="376"/>
    </row>
    <row r="159" spans="2:11" ht="15" x14ac:dyDescent="0.25">
      <c r="B159" s="433" t="s">
        <v>1530</v>
      </c>
      <c r="C159" s="361" t="s">
        <v>0</v>
      </c>
      <c r="D159" s="433" t="s">
        <v>185</v>
      </c>
      <c r="E159" s="433" t="s">
        <v>83</v>
      </c>
      <c r="F159" s="498" t="s">
        <v>1</v>
      </c>
      <c r="G159" s="498"/>
      <c r="H159" s="362" t="s">
        <v>3</v>
      </c>
      <c r="I159" s="361" t="s">
        <v>186</v>
      </c>
      <c r="J159" s="361" t="s">
        <v>187</v>
      </c>
      <c r="K159" s="361" t="s">
        <v>4</v>
      </c>
    </row>
    <row r="160" spans="2:11" ht="25.5" x14ac:dyDescent="0.25">
      <c r="B160" s="434" t="s">
        <v>7</v>
      </c>
      <c r="C160" s="363" t="s">
        <v>1504</v>
      </c>
      <c r="D160" s="434" t="s">
        <v>31</v>
      </c>
      <c r="E160" s="434" t="s">
        <v>1505</v>
      </c>
      <c r="F160" s="499" t="s">
        <v>1529</v>
      </c>
      <c r="G160" s="499"/>
      <c r="H160" s="364" t="s">
        <v>8</v>
      </c>
      <c r="I160" s="365">
        <v>1</v>
      </c>
      <c r="J160" s="366">
        <v>41.8</v>
      </c>
      <c r="K160" s="366">
        <v>41.8</v>
      </c>
    </row>
    <row r="161" spans="2:11" ht="38.25" x14ac:dyDescent="0.25">
      <c r="B161" s="430" t="s">
        <v>189</v>
      </c>
      <c r="C161" s="367" t="s">
        <v>202</v>
      </c>
      <c r="D161" s="430" t="s">
        <v>31</v>
      </c>
      <c r="E161" s="430" t="s">
        <v>48</v>
      </c>
      <c r="F161" s="497" t="s">
        <v>188</v>
      </c>
      <c r="G161" s="497"/>
      <c r="H161" s="368" t="s">
        <v>32</v>
      </c>
      <c r="I161" s="369">
        <v>2.3986000000000001</v>
      </c>
      <c r="J161" s="370">
        <v>17.43</v>
      </c>
      <c r="K161" s="370">
        <v>41.8</v>
      </c>
    </row>
    <row r="162" spans="2:11" ht="15" x14ac:dyDescent="0.25">
      <c r="B162" s="432"/>
      <c r="C162" s="432"/>
      <c r="D162" s="432"/>
      <c r="E162" s="432"/>
      <c r="F162" s="432"/>
      <c r="G162" s="375"/>
      <c r="H162" s="432"/>
      <c r="I162" s="375"/>
      <c r="J162" s="375"/>
      <c r="K162"/>
    </row>
    <row r="163" spans="2:11" ht="15.75" thickBot="1" x14ac:dyDescent="0.3">
      <c r="B163" s="432"/>
      <c r="C163" s="432"/>
      <c r="D163" s="432"/>
      <c r="E163" s="432"/>
      <c r="F163" s="432"/>
      <c r="G163" s="375"/>
      <c r="H163" s="432"/>
      <c r="I163" s="432"/>
      <c r="J163" s="375"/>
      <c r="K163"/>
    </row>
    <row r="164" spans="2:11" ht="13.5" thickTop="1" x14ac:dyDescent="0.25">
      <c r="B164" s="376"/>
      <c r="C164" s="376"/>
      <c r="D164" s="376"/>
      <c r="E164" s="376"/>
      <c r="F164" s="376"/>
      <c r="G164" s="376"/>
      <c r="H164" s="376"/>
      <c r="I164" s="376"/>
      <c r="J164" s="376"/>
      <c r="K164" s="376"/>
    </row>
    <row r="165" spans="2:11" ht="15" x14ac:dyDescent="0.25">
      <c r="B165" s="433" t="s">
        <v>1531</v>
      </c>
      <c r="C165" s="361" t="s">
        <v>0</v>
      </c>
      <c r="D165" s="433" t="s">
        <v>185</v>
      </c>
      <c r="E165" s="433" t="s">
        <v>83</v>
      </c>
      <c r="F165" s="498" t="s">
        <v>1</v>
      </c>
      <c r="G165" s="498"/>
      <c r="H165" s="362" t="s">
        <v>3</v>
      </c>
      <c r="I165" s="361" t="s">
        <v>186</v>
      </c>
      <c r="J165" s="361" t="s">
        <v>187</v>
      </c>
      <c r="K165" s="361" t="s">
        <v>4</v>
      </c>
    </row>
    <row r="166" spans="2:11" ht="25.5" x14ac:dyDescent="0.25">
      <c r="B166" s="434" t="s">
        <v>7</v>
      </c>
      <c r="C166" s="363" t="s">
        <v>1506</v>
      </c>
      <c r="D166" s="434" t="s">
        <v>177</v>
      </c>
      <c r="E166" s="434" t="s">
        <v>1507</v>
      </c>
      <c r="F166" s="499" t="s">
        <v>1532</v>
      </c>
      <c r="G166" s="499"/>
      <c r="H166" s="364" t="s">
        <v>2</v>
      </c>
      <c r="I166" s="365">
        <v>1</v>
      </c>
      <c r="J166" s="366">
        <v>17.28</v>
      </c>
      <c r="K166" s="366">
        <v>17.28</v>
      </c>
    </row>
    <row r="167" spans="2:11" ht="38.25" x14ac:dyDescent="0.25">
      <c r="B167" s="430" t="s">
        <v>189</v>
      </c>
      <c r="C167" s="367" t="s">
        <v>1206</v>
      </c>
      <c r="D167" s="430" t="s">
        <v>177</v>
      </c>
      <c r="E167" s="430" t="s">
        <v>1207</v>
      </c>
      <c r="F167" s="497" t="s">
        <v>1125</v>
      </c>
      <c r="G167" s="497"/>
      <c r="H167" s="368" t="s">
        <v>1126</v>
      </c>
      <c r="I167" s="369">
        <v>0.1</v>
      </c>
      <c r="J167" s="370">
        <v>3.52</v>
      </c>
      <c r="K167" s="370">
        <v>0.35</v>
      </c>
    </row>
    <row r="168" spans="2:11" ht="38.25" x14ac:dyDescent="0.25">
      <c r="B168" s="430" t="s">
        <v>189</v>
      </c>
      <c r="C168" s="367" t="s">
        <v>1123</v>
      </c>
      <c r="D168" s="430" t="s">
        <v>177</v>
      </c>
      <c r="E168" s="430" t="s">
        <v>1124</v>
      </c>
      <c r="F168" s="497" t="s">
        <v>1125</v>
      </c>
      <c r="G168" s="497"/>
      <c r="H168" s="368" t="s">
        <v>1126</v>
      </c>
      <c r="I168" s="369">
        <v>1</v>
      </c>
      <c r="J168" s="370">
        <v>3.63</v>
      </c>
      <c r="K168" s="370">
        <v>3.63</v>
      </c>
    </row>
    <row r="169" spans="2:11" ht="38.25" x14ac:dyDescent="0.25">
      <c r="B169" s="431" t="s">
        <v>190</v>
      </c>
      <c r="C169" s="371" t="s">
        <v>176</v>
      </c>
      <c r="D169" s="431" t="s">
        <v>31</v>
      </c>
      <c r="E169" s="431" t="s">
        <v>1208</v>
      </c>
      <c r="F169" s="500" t="s">
        <v>191</v>
      </c>
      <c r="G169" s="500"/>
      <c r="H169" s="372" t="s">
        <v>32</v>
      </c>
      <c r="I169" s="373">
        <v>0.1</v>
      </c>
      <c r="J169" s="374">
        <v>16.39</v>
      </c>
      <c r="K169" s="374">
        <v>1.63</v>
      </c>
    </row>
    <row r="170" spans="2:11" ht="38.25" x14ac:dyDescent="0.25">
      <c r="B170" s="431" t="s">
        <v>190</v>
      </c>
      <c r="C170" s="371" t="s">
        <v>175</v>
      </c>
      <c r="D170" s="431" t="s">
        <v>31</v>
      </c>
      <c r="E170" s="431" t="s">
        <v>47</v>
      </c>
      <c r="F170" s="500" t="s">
        <v>191</v>
      </c>
      <c r="G170" s="500"/>
      <c r="H170" s="372" t="s">
        <v>32</v>
      </c>
      <c r="I170" s="373">
        <v>1</v>
      </c>
      <c r="J170" s="374">
        <v>11.67</v>
      </c>
      <c r="K170" s="374">
        <v>11.67</v>
      </c>
    </row>
    <row r="171" spans="2:11" ht="15" x14ac:dyDescent="0.25">
      <c r="B171" s="432"/>
      <c r="C171" s="432"/>
      <c r="D171" s="432"/>
      <c r="E171" s="432"/>
      <c r="F171" s="432"/>
      <c r="G171" s="375"/>
      <c r="H171" s="432"/>
      <c r="I171" s="375"/>
      <c r="J171" s="375"/>
      <c r="K171"/>
    </row>
    <row r="172" spans="2:11" ht="15.75" thickBot="1" x14ac:dyDescent="0.3">
      <c r="B172" s="432"/>
      <c r="C172" s="432"/>
      <c r="D172" s="432"/>
      <c r="E172" s="432"/>
      <c r="F172" s="432"/>
      <c r="G172" s="375"/>
      <c r="H172" s="432"/>
      <c r="I172" s="432"/>
      <c r="J172" s="375"/>
      <c r="K172"/>
    </row>
    <row r="173" spans="2:11" ht="13.5" thickTop="1" x14ac:dyDescent="0.25">
      <c r="B173" s="376"/>
      <c r="C173" s="376"/>
      <c r="D173" s="376"/>
      <c r="E173" s="376"/>
      <c r="F173" s="376"/>
      <c r="G173" s="376"/>
      <c r="H173" s="376"/>
      <c r="I173" s="376"/>
      <c r="J173" s="376"/>
      <c r="K173" s="376"/>
    </row>
    <row r="174" spans="2:11" ht="15" x14ac:dyDescent="0.25">
      <c r="B174" s="433" t="s">
        <v>1533</v>
      </c>
      <c r="C174" s="361" t="s">
        <v>0</v>
      </c>
      <c r="D174" s="433" t="s">
        <v>185</v>
      </c>
      <c r="E174" s="433" t="s">
        <v>83</v>
      </c>
      <c r="F174" s="498" t="s">
        <v>1</v>
      </c>
      <c r="G174" s="498"/>
      <c r="H174" s="362" t="s">
        <v>3</v>
      </c>
      <c r="I174" s="361" t="s">
        <v>186</v>
      </c>
      <c r="J174" s="361" t="s">
        <v>187</v>
      </c>
      <c r="K174" s="361" t="s">
        <v>4</v>
      </c>
    </row>
    <row r="175" spans="2:11" ht="25.5" x14ac:dyDescent="0.25">
      <c r="B175" s="434" t="s">
        <v>7</v>
      </c>
      <c r="C175" s="363" t="s">
        <v>1513</v>
      </c>
      <c r="D175" s="434" t="s">
        <v>214</v>
      </c>
      <c r="E175" s="434" t="s">
        <v>1514</v>
      </c>
      <c r="F175" s="499" t="s">
        <v>1534</v>
      </c>
      <c r="G175" s="499"/>
      <c r="H175" s="364" t="s">
        <v>2</v>
      </c>
      <c r="I175" s="365">
        <v>1</v>
      </c>
      <c r="J175" s="366">
        <v>16.829999999999998</v>
      </c>
      <c r="K175" s="366">
        <v>16.829999999999998</v>
      </c>
    </row>
    <row r="176" spans="2:11" ht="38.25" x14ac:dyDescent="0.25">
      <c r="B176" s="430" t="s">
        <v>189</v>
      </c>
      <c r="C176" s="367" t="s">
        <v>1535</v>
      </c>
      <c r="D176" s="430" t="s">
        <v>31</v>
      </c>
      <c r="E176" s="430" t="s">
        <v>1536</v>
      </c>
      <c r="F176" s="497" t="s">
        <v>188</v>
      </c>
      <c r="G176" s="497"/>
      <c r="H176" s="368" t="s">
        <v>32</v>
      </c>
      <c r="I176" s="369">
        <v>0.92800000000000005</v>
      </c>
      <c r="J176" s="370">
        <v>18.14</v>
      </c>
      <c r="K176" s="370">
        <v>16.829999999999998</v>
      </c>
    </row>
    <row r="177" spans="2:11" ht="15" x14ac:dyDescent="0.25">
      <c r="B177" s="432"/>
      <c r="C177" s="432"/>
      <c r="D177" s="432"/>
      <c r="E177" s="432"/>
      <c r="F177" s="432"/>
      <c r="G177" s="375"/>
      <c r="H177" s="432"/>
      <c r="I177" s="375"/>
      <c r="J177" s="375"/>
      <c r="K177"/>
    </row>
    <row r="178" spans="2:11" ht="15.75" thickBot="1" x14ac:dyDescent="0.3">
      <c r="B178" s="432"/>
      <c r="C178" s="432"/>
      <c r="D178" s="432"/>
      <c r="E178" s="432"/>
      <c r="F178" s="432"/>
      <c r="G178" s="375"/>
      <c r="H178" s="432"/>
      <c r="I178" s="432"/>
      <c r="J178" s="375"/>
      <c r="K178"/>
    </row>
    <row r="179" spans="2:11" ht="13.5" thickTop="1" x14ac:dyDescent="0.25">
      <c r="B179" s="376"/>
      <c r="C179" s="376"/>
      <c r="D179" s="376"/>
      <c r="E179" s="376"/>
      <c r="F179" s="376"/>
      <c r="G179" s="376"/>
      <c r="H179" s="376"/>
      <c r="I179" s="376"/>
      <c r="J179" s="376"/>
      <c r="K179" s="376"/>
    </row>
    <row r="180" spans="2:11" ht="15" x14ac:dyDescent="0.25">
      <c r="B180" s="433" t="s">
        <v>131</v>
      </c>
      <c r="C180" s="361" t="s">
        <v>0</v>
      </c>
      <c r="D180" s="433" t="s">
        <v>185</v>
      </c>
      <c r="E180" s="433" t="s">
        <v>83</v>
      </c>
      <c r="F180" s="498" t="s">
        <v>1</v>
      </c>
      <c r="G180" s="498"/>
      <c r="H180" s="362" t="s">
        <v>3</v>
      </c>
      <c r="I180" s="361" t="s">
        <v>186</v>
      </c>
      <c r="J180" s="361" t="s">
        <v>187</v>
      </c>
      <c r="K180" s="361" t="s">
        <v>4</v>
      </c>
    </row>
    <row r="181" spans="2:11" ht="25.5" x14ac:dyDescent="0.25">
      <c r="B181" s="434" t="s">
        <v>7</v>
      </c>
      <c r="C181" s="363" t="s">
        <v>745</v>
      </c>
      <c r="D181" s="434" t="s">
        <v>125</v>
      </c>
      <c r="E181" s="434" t="s">
        <v>581</v>
      </c>
      <c r="F181" s="499">
        <v>120</v>
      </c>
      <c r="G181" s="499"/>
      <c r="H181" s="364" t="s">
        <v>2</v>
      </c>
      <c r="I181" s="365">
        <v>1</v>
      </c>
      <c r="J181" s="366">
        <v>24.51</v>
      </c>
      <c r="K181" s="366">
        <v>24.51</v>
      </c>
    </row>
    <row r="182" spans="2:11" ht="38.25" x14ac:dyDescent="0.25">
      <c r="B182" s="430" t="s">
        <v>189</v>
      </c>
      <c r="C182" s="367" t="s">
        <v>243</v>
      </c>
      <c r="D182" s="430" t="s">
        <v>31</v>
      </c>
      <c r="E182" s="430" t="s">
        <v>244</v>
      </c>
      <c r="F182" s="497" t="s">
        <v>188</v>
      </c>
      <c r="G182" s="497"/>
      <c r="H182" s="368" t="s">
        <v>32</v>
      </c>
      <c r="I182" s="369">
        <v>0.37019999999999997</v>
      </c>
      <c r="J182" s="370">
        <v>21.35</v>
      </c>
      <c r="K182" s="370">
        <v>7.9</v>
      </c>
    </row>
    <row r="183" spans="2:11" ht="38.25" x14ac:dyDescent="0.25">
      <c r="B183" s="430" t="s">
        <v>189</v>
      </c>
      <c r="C183" s="367" t="s">
        <v>202</v>
      </c>
      <c r="D183" s="430" t="s">
        <v>31</v>
      </c>
      <c r="E183" s="430" t="s">
        <v>48</v>
      </c>
      <c r="F183" s="497" t="s">
        <v>188</v>
      </c>
      <c r="G183" s="497"/>
      <c r="H183" s="368" t="s">
        <v>32</v>
      </c>
      <c r="I183" s="369">
        <v>0.37019999999999997</v>
      </c>
      <c r="J183" s="370">
        <v>17.43</v>
      </c>
      <c r="K183" s="370">
        <v>6.45</v>
      </c>
    </row>
    <row r="184" spans="2:11" x14ac:dyDescent="0.25">
      <c r="B184" s="431" t="s">
        <v>190</v>
      </c>
      <c r="C184" s="371" t="s">
        <v>807</v>
      </c>
      <c r="D184" s="431" t="s">
        <v>214</v>
      </c>
      <c r="E184" s="431" t="s">
        <v>808</v>
      </c>
      <c r="F184" s="500" t="s">
        <v>199</v>
      </c>
      <c r="G184" s="500"/>
      <c r="H184" s="372" t="s">
        <v>22</v>
      </c>
      <c r="I184" s="373">
        <v>0.1923</v>
      </c>
      <c r="J184" s="374">
        <v>6.36</v>
      </c>
      <c r="K184" s="374">
        <v>1.22</v>
      </c>
    </row>
    <row r="185" spans="2:11" x14ac:dyDescent="0.25">
      <c r="B185" s="431" t="s">
        <v>190</v>
      </c>
      <c r="C185" s="371" t="s">
        <v>809</v>
      </c>
      <c r="D185" s="431" t="s">
        <v>214</v>
      </c>
      <c r="E185" s="431" t="s">
        <v>810</v>
      </c>
      <c r="F185" s="500" t="s">
        <v>199</v>
      </c>
      <c r="G185" s="500"/>
      <c r="H185" s="372" t="s">
        <v>22</v>
      </c>
      <c r="I185" s="373">
        <v>0.15</v>
      </c>
      <c r="J185" s="374">
        <v>0.37</v>
      </c>
      <c r="K185" s="374">
        <v>0.05</v>
      </c>
    </row>
    <row r="186" spans="2:11" x14ac:dyDescent="0.25">
      <c r="B186" s="431" t="s">
        <v>190</v>
      </c>
      <c r="C186" s="371" t="s">
        <v>811</v>
      </c>
      <c r="D186" s="431" t="s">
        <v>214</v>
      </c>
      <c r="E186" s="431" t="s">
        <v>812</v>
      </c>
      <c r="F186" s="500" t="s">
        <v>199</v>
      </c>
      <c r="G186" s="500"/>
      <c r="H186" s="372" t="s">
        <v>22</v>
      </c>
      <c r="I186" s="373">
        <v>2.6849999999999999E-2</v>
      </c>
      <c r="J186" s="374">
        <v>13.51</v>
      </c>
      <c r="K186" s="374">
        <v>0.36</v>
      </c>
    </row>
    <row r="187" spans="2:11" x14ac:dyDescent="0.25">
      <c r="B187" s="431" t="s">
        <v>190</v>
      </c>
      <c r="C187" s="371" t="s">
        <v>813</v>
      </c>
      <c r="D187" s="431" t="s">
        <v>214</v>
      </c>
      <c r="E187" s="431" t="s">
        <v>814</v>
      </c>
      <c r="F187" s="500" t="s">
        <v>199</v>
      </c>
      <c r="G187" s="500"/>
      <c r="H187" s="372" t="s">
        <v>2</v>
      </c>
      <c r="I187" s="373">
        <v>0.1575</v>
      </c>
      <c r="J187" s="374">
        <v>41.78</v>
      </c>
      <c r="K187" s="374">
        <v>6.58</v>
      </c>
    </row>
    <row r="188" spans="2:11" x14ac:dyDescent="0.25">
      <c r="B188" s="431" t="s">
        <v>190</v>
      </c>
      <c r="C188" s="371" t="s">
        <v>815</v>
      </c>
      <c r="D188" s="431" t="s">
        <v>214</v>
      </c>
      <c r="E188" s="431" t="s">
        <v>816</v>
      </c>
      <c r="F188" s="500" t="s">
        <v>199</v>
      </c>
      <c r="G188" s="500"/>
      <c r="H188" s="372" t="s">
        <v>22</v>
      </c>
      <c r="I188" s="373">
        <v>0.6</v>
      </c>
      <c r="J188" s="374">
        <v>3.26</v>
      </c>
      <c r="K188" s="374">
        <v>1.95</v>
      </c>
    </row>
    <row r="189" spans="2:11" ht="15" x14ac:dyDescent="0.25">
      <c r="B189" s="432"/>
      <c r="C189" s="432"/>
      <c r="D189" s="432"/>
      <c r="E189" s="432"/>
      <c r="F189" s="432"/>
      <c r="G189" s="375"/>
      <c r="H189" s="432"/>
      <c r="I189" s="375"/>
      <c r="J189" s="375"/>
      <c r="K189"/>
    </row>
    <row r="190" spans="2:11" ht="15.75" thickBot="1" x14ac:dyDescent="0.3">
      <c r="B190" s="432"/>
      <c r="C190" s="432"/>
      <c r="D190" s="432"/>
      <c r="E190" s="432"/>
      <c r="F190" s="432"/>
      <c r="G190" s="375"/>
      <c r="H190" s="432"/>
      <c r="I190" s="432"/>
      <c r="J190" s="375"/>
      <c r="K190"/>
    </row>
    <row r="191" spans="2:11" ht="13.5" thickTop="1" x14ac:dyDescent="0.25">
      <c r="B191" s="376"/>
      <c r="C191" s="376"/>
      <c r="D191" s="376"/>
      <c r="E191" s="376"/>
      <c r="F191" s="376"/>
      <c r="G191" s="376"/>
      <c r="H191" s="376"/>
      <c r="I191" s="376"/>
      <c r="J191" s="376"/>
      <c r="K191" s="376"/>
    </row>
    <row r="192" spans="2:11" ht="15" x14ac:dyDescent="0.25">
      <c r="B192" s="433" t="s">
        <v>1537</v>
      </c>
      <c r="C192" s="361" t="s">
        <v>0</v>
      </c>
      <c r="D192" s="433" t="s">
        <v>185</v>
      </c>
      <c r="E192" s="433" t="s">
        <v>83</v>
      </c>
      <c r="F192" s="498" t="s">
        <v>1</v>
      </c>
      <c r="G192" s="498"/>
      <c r="H192" s="362" t="s">
        <v>3</v>
      </c>
      <c r="I192" s="361" t="s">
        <v>186</v>
      </c>
      <c r="J192" s="361" t="s">
        <v>187</v>
      </c>
      <c r="K192" s="361" t="s">
        <v>4</v>
      </c>
    </row>
    <row r="193" spans="2:11" ht="25.5" x14ac:dyDescent="0.25">
      <c r="B193" s="434" t="s">
        <v>7</v>
      </c>
      <c r="C193" s="363" t="s">
        <v>1419</v>
      </c>
      <c r="D193" s="434" t="s">
        <v>214</v>
      </c>
      <c r="E193" s="434" t="s">
        <v>1420</v>
      </c>
      <c r="F193" s="499" t="s">
        <v>1317</v>
      </c>
      <c r="G193" s="499"/>
      <c r="H193" s="364" t="s">
        <v>2</v>
      </c>
      <c r="I193" s="365">
        <v>1</v>
      </c>
      <c r="J193" s="366">
        <v>188.7</v>
      </c>
      <c r="K193" s="366">
        <v>188.7</v>
      </c>
    </row>
    <row r="194" spans="2:11" ht="38.25" x14ac:dyDescent="0.25">
      <c r="B194" s="430" t="s">
        <v>189</v>
      </c>
      <c r="C194" s="367" t="s">
        <v>1538</v>
      </c>
      <c r="D194" s="430" t="s">
        <v>31</v>
      </c>
      <c r="E194" s="430" t="s">
        <v>1539</v>
      </c>
      <c r="F194" s="497" t="s">
        <v>188</v>
      </c>
      <c r="G194" s="497"/>
      <c r="H194" s="368" t="s">
        <v>32</v>
      </c>
      <c r="I194" s="369">
        <v>0.93500000000000005</v>
      </c>
      <c r="J194" s="370">
        <v>18.11</v>
      </c>
      <c r="K194" s="370">
        <v>16.93</v>
      </c>
    </row>
    <row r="195" spans="2:11" ht="38.25" x14ac:dyDescent="0.25">
      <c r="B195" s="430" t="s">
        <v>189</v>
      </c>
      <c r="C195" s="367" t="s">
        <v>243</v>
      </c>
      <c r="D195" s="430" t="s">
        <v>31</v>
      </c>
      <c r="E195" s="430" t="s">
        <v>244</v>
      </c>
      <c r="F195" s="497" t="s">
        <v>188</v>
      </c>
      <c r="G195" s="497"/>
      <c r="H195" s="368" t="s">
        <v>32</v>
      </c>
      <c r="I195" s="369">
        <v>0.80800000000000005</v>
      </c>
      <c r="J195" s="370">
        <v>21.35</v>
      </c>
      <c r="K195" s="370">
        <v>17.25</v>
      </c>
    </row>
    <row r="196" spans="2:11" x14ac:dyDescent="0.25">
      <c r="B196" s="431" t="s">
        <v>190</v>
      </c>
      <c r="C196" s="371" t="s">
        <v>1540</v>
      </c>
      <c r="D196" s="431" t="s">
        <v>214</v>
      </c>
      <c r="E196" s="431" t="s">
        <v>1420</v>
      </c>
      <c r="F196" s="500" t="s">
        <v>199</v>
      </c>
      <c r="G196" s="500"/>
      <c r="H196" s="372" t="s">
        <v>2</v>
      </c>
      <c r="I196" s="373">
        <v>1.05</v>
      </c>
      <c r="J196" s="374">
        <v>147.16999999999999</v>
      </c>
      <c r="K196" s="374">
        <v>154.52000000000001</v>
      </c>
    </row>
    <row r="197" spans="2:11" ht="15" x14ac:dyDescent="0.25">
      <c r="B197" s="432"/>
      <c r="C197" s="432"/>
      <c r="D197" s="432"/>
      <c r="E197" s="432"/>
      <c r="F197" s="432"/>
      <c r="G197" s="375"/>
      <c r="H197" s="432"/>
      <c r="I197" s="375"/>
      <c r="J197" s="375"/>
      <c r="K197"/>
    </row>
    <row r="198" spans="2:11" ht="15.75" thickBot="1" x14ac:dyDescent="0.3">
      <c r="B198" s="432"/>
      <c r="C198" s="432"/>
      <c r="D198" s="432"/>
      <c r="E198" s="432"/>
      <c r="F198" s="432"/>
      <c r="G198" s="375"/>
      <c r="H198" s="432"/>
      <c r="I198" s="432"/>
      <c r="J198" s="375"/>
      <c r="K198"/>
    </row>
    <row r="199" spans="2:11" ht="13.5" thickTop="1" x14ac:dyDescent="0.25">
      <c r="B199" s="376"/>
      <c r="C199" s="376"/>
      <c r="D199" s="376"/>
      <c r="E199" s="376"/>
      <c r="F199" s="376"/>
      <c r="G199" s="376"/>
      <c r="H199" s="376"/>
      <c r="I199" s="376"/>
      <c r="J199" s="376"/>
      <c r="K199" s="376"/>
    </row>
    <row r="200" spans="2:11" ht="15" x14ac:dyDescent="0.25">
      <c r="B200" s="433" t="s">
        <v>1541</v>
      </c>
      <c r="C200" s="361" t="s">
        <v>0</v>
      </c>
      <c r="D200" s="433" t="s">
        <v>185</v>
      </c>
      <c r="E200" s="433" t="s">
        <v>83</v>
      </c>
      <c r="F200" s="498" t="s">
        <v>1</v>
      </c>
      <c r="G200" s="498"/>
      <c r="H200" s="362" t="s">
        <v>3</v>
      </c>
      <c r="I200" s="361" t="s">
        <v>186</v>
      </c>
      <c r="J200" s="361" t="s">
        <v>187</v>
      </c>
      <c r="K200" s="361" t="s">
        <v>4</v>
      </c>
    </row>
    <row r="201" spans="2:11" ht="25.5" x14ac:dyDescent="0.25">
      <c r="B201" s="434" t="s">
        <v>7</v>
      </c>
      <c r="C201" s="363" t="s">
        <v>1424</v>
      </c>
      <c r="D201" s="434" t="s">
        <v>177</v>
      </c>
      <c r="E201" s="434" t="s">
        <v>1425</v>
      </c>
      <c r="F201" s="499" t="s">
        <v>1542</v>
      </c>
      <c r="G201" s="499"/>
      <c r="H201" s="364" t="s">
        <v>2</v>
      </c>
      <c r="I201" s="365">
        <v>1</v>
      </c>
      <c r="J201" s="366">
        <v>125.63</v>
      </c>
      <c r="K201" s="366">
        <v>125.63</v>
      </c>
    </row>
    <row r="202" spans="2:11" ht="38.25" x14ac:dyDescent="0.25">
      <c r="B202" s="430" t="s">
        <v>189</v>
      </c>
      <c r="C202" s="367" t="s">
        <v>1123</v>
      </c>
      <c r="D202" s="430" t="s">
        <v>177</v>
      </c>
      <c r="E202" s="430" t="s">
        <v>1124</v>
      </c>
      <c r="F202" s="497" t="s">
        <v>1125</v>
      </c>
      <c r="G202" s="497"/>
      <c r="H202" s="368" t="s">
        <v>1126</v>
      </c>
      <c r="I202" s="369">
        <v>1</v>
      </c>
      <c r="J202" s="370">
        <v>3.63</v>
      </c>
      <c r="K202" s="370">
        <v>3.63</v>
      </c>
    </row>
    <row r="203" spans="2:11" ht="38.25" x14ac:dyDescent="0.25">
      <c r="B203" s="430" t="s">
        <v>189</v>
      </c>
      <c r="C203" s="367" t="s">
        <v>1543</v>
      </c>
      <c r="D203" s="430" t="s">
        <v>177</v>
      </c>
      <c r="E203" s="430" t="s">
        <v>1544</v>
      </c>
      <c r="F203" s="497" t="s">
        <v>1125</v>
      </c>
      <c r="G203" s="497"/>
      <c r="H203" s="368" t="s">
        <v>1126</v>
      </c>
      <c r="I203" s="369">
        <v>1</v>
      </c>
      <c r="J203" s="370">
        <v>3.52</v>
      </c>
      <c r="K203" s="370">
        <v>3.52</v>
      </c>
    </row>
    <row r="204" spans="2:11" ht="38.25" x14ac:dyDescent="0.25">
      <c r="B204" s="431" t="s">
        <v>190</v>
      </c>
      <c r="C204" s="371" t="s">
        <v>1545</v>
      </c>
      <c r="D204" s="431" t="s">
        <v>31</v>
      </c>
      <c r="E204" s="431" t="s">
        <v>1546</v>
      </c>
      <c r="F204" s="500" t="s">
        <v>191</v>
      </c>
      <c r="G204" s="500"/>
      <c r="H204" s="372" t="s">
        <v>32</v>
      </c>
      <c r="I204" s="373">
        <v>1</v>
      </c>
      <c r="J204" s="374">
        <v>16.39</v>
      </c>
      <c r="K204" s="374">
        <v>16.39</v>
      </c>
    </row>
    <row r="205" spans="2:11" ht="38.25" x14ac:dyDescent="0.25">
      <c r="B205" s="431" t="s">
        <v>190</v>
      </c>
      <c r="C205" s="371" t="s">
        <v>1547</v>
      </c>
      <c r="D205" s="431" t="s">
        <v>31</v>
      </c>
      <c r="E205" s="431" t="s">
        <v>1548</v>
      </c>
      <c r="F205" s="500" t="s">
        <v>199</v>
      </c>
      <c r="G205" s="500"/>
      <c r="H205" s="372" t="s">
        <v>2</v>
      </c>
      <c r="I205" s="373">
        <v>1.1499999999999999</v>
      </c>
      <c r="J205" s="374">
        <v>71.8</v>
      </c>
      <c r="K205" s="374">
        <v>82.57</v>
      </c>
    </row>
    <row r="206" spans="2:11" ht="38.25" x14ac:dyDescent="0.25">
      <c r="B206" s="431" t="s">
        <v>190</v>
      </c>
      <c r="C206" s="371" t="s">
        <v>1549</v>
      </c>
      <c r="D206" s="431" t="s">
        <v>31</v>
      </c>
      <c r="E206" s="431" t="s">
        <v>1550</v>
      </c>
      <c r="F206" s="500" t="s">
        <v>199</v>
      </c>
      <c r="G206" s="500"/>
      <c r="H206" s="372" t="s">
        <v>1551</v>
      </c>
      <c r="I206" s="373">
        <v>0.4</v>
      </c>
      <c r="J206" s="374">
        <v>19.63</v>
      </c>
      <c r="K206" s="374">
        <v>7.85</v>
      </c>
    </row>
    <row r="207" spans="2:11" ht="38.25" x14ac:dyDescent="0.25">
      <c r="B207" s="431" t="s">
        <v>190</v>
      </c>
      <c r="C207" s="371" t="s">
        <v>175</v>
      </c>
      <c r="D207" s="431" t="s">
        <v>31</v>
      </c>
      <c r="E207" s="431" t="s">
        <v>47</v>
      </c>
      <c r="F207" s="500" t="s">
        <v>191</v>
      </c>
      <c r="G207" s="500"/>
      <c r="H207" s="372" t="s">
        <v>32</v>
      </c>
      <c r="I207" s="373">
        <v>1</v>
      </c>
      <c r="J207" s="374">
        <v>11.67</v>
      </c>
      <c r="K207" s="374">
        <v>11.67</v>
      </c>
    </row>
    <row r="208" spans="2:11" ht="15" x14ac:dyDescent="0.25">
      <c r="B208" s="432"/>
      <c r="C208" s="432"/>
      <c r="D208" s="432"/>
      <c r="E208" s="432"/>
      <c r="F208" s="432"/>
      <c r="G208" s="375"/>
      <c r="H208" s="432"/>
      <c r="I208" s="375"/>
      <c r="J208" s="375"/>
      <c r="K208"/>
    </row>
    <row r="209" spans="2:11" ht="15.75" thickBot="1" x14ac:dyDescent="0.3">
      <c r="B209" s="432"/>
      <c r="C209" s="432"/>
      <c r="D209" s="432"/>
      <c r="E209" s="432"/>
      <c r="F209" s="432"/>
      <c r="G209" s="375"/>
      <c r="H209" s="432"/>
      <c r="I209" s="432"/>
      <c r="J209" s="375"/>
      <c r="K209"/>
    </row>
    <row r="210" spans="2:11" ht="13.5" thickTop="1" x14ac:dyDescent="0.25">
      <c r="B210" s="376"/>
      <c r="C210" s="376"/>
      <c r="D210" s="376"/>
      <c r="E210" s="376"/>
      <c r="F210" s="376"/>
      <c r="G210" s="376"/>
      <c r="H210" s="376"/>
      <c r="I210" s="376"/>
      <c r="J210" s="376"/>
      <c r="K210" s="376"/>
    </row>
    <row r="211" spans="2:11" ht="15" x14ac:dyDescent="0.25">
      <c r="B211" s="433" t="s">
        <v>1552</v>
      </c>
      <c r="C211" s="361" t="s">
        <v>0</v>
      </c>
      <c r="D211" s="433" t="s">
        <v>185</v>
      </c>
      <c r="E211" s="433" t="s">
        <v>83</v>
      </c>
      <c r="F211" s="498" t="s">
        <v>1</v>
      </c>
      <c r="G211" s="498"/>
      <c r="H211" s="362" t="s">
        <v>3</v>
      </c>
      <c r="I211" s="361" t="s">
        <v>186</v>
      </c>
      <c r="J211" s="361" t="s">
        <v>187</v>
      </c>
      <c r="K211" s="361" t="s">
        <v>4</v>
      </c>
    </row>
    <row r="212" spans="2:11" ht="25.5" x14ac:dyDescent="0.25">
      <c r="B212" s="434" t="s">
        <v>7</v>
      </c>
      <c r="C212" s="363" t="s">
        <v>1432</v>
      </c>
      <c r="D212" s="434" t="s">
        <v>31</v>
      </c>
      <c r="E212" s="434" t="s">
        <v>1433</v>
      </c>
      <c r="F212" s="499" t="s">
        <v>1553</v>
      </c>
      <c r="G212" s="499"/>
      <c r="H212" s="364" t="s">
        <v>2</v>
      </c>
      <c r="I212" s="365">
        <v>1</v>
      </c>
      <c r="J212" s="366">
        <v>34.71</v>
      </c>
      <c r="K212" s="366">
        <v>34.71</v>
      </c>
    </row>
    <row r="213" spans="2:11" ht="38.25" x14ac:dyDescent="0.25">
      <c r="B213" s="430" t="s">
        <v>189</v>
      </c>
      <c r="C213" s="367" t="s">
        <v>1526</v>
      </c>
      <c r="D213" s="430" t="s">
        <v>31</v>
      </c>
      <c r="E213" s="430" t="s">
        <v>1527</v>
      </c>
      <c r="F213" s="497" t="s">
        <v>188</v>
      </c>
      <c r="G213" s="497"/>
      <c r="H213" s="368" t="s">
        <v>32</v>
      </c>
      <c r="I213" s="369">
        <v>0.63129999999999997</v>
      </c>
      <c r="J213" s="370">
        <v>21.64</v>
      </c>
      <c r="K213" s="370">
        <v>13.66</v>
      </c>
    </row>
    <row r="214" spans="2:11" ht="38.25" x14ac:dyDescent="0.25">
      <c r="B214" s="430" t="s">
        <v>189</v>
      </c>
      <c r="C214" s="367" t="s">
        <v>202</v>
      </c>
      <c r="D214" s="430" t="s">
        <v>31</v>
      </c>
      <c r="E214" s="430" t="s">
        <v>48</v>
      </c>
      <c r="F214" s="497" t="s">
        <v>188</v>
      </c>
      <c r="G214" s="497"/>
      <c r="H214" s="368" t="s">
        <v>32</v>
      </c>
      <c r="I214" s="369">
        <v>0.31559999999999999</v>
      </c>
      <c r="J214" s="370">
        <v>17.43</v>
      </c>
      <c r="K214" s="370">
        <v>5.5</v>
      </c>
    </row>
    <row r="215" spans="2:11" ht="38.25" x14ac:dyDescent="0.25">
      <c r="B215" s="431" t="s">
        <v>190</v>
      </c>
      <c r="C215" s="371" t="s">
        <v>1554</v>
      </c>
      <c r="D215" s="431" t="s">
        <v>31</v>
      </c>
      <c r="E215" s="431" t="s">
        <v>1555</v>
      </c>
      <c r="F215" s="500" t="s">
        <v>199</v>
      </c>
      <c r="G215" s="500"/>
      <c r="H215" s="372" t="s">
        <v>34</v>
      </c>
      <c r="I215" s="373">
        <v>2.5000000000000001E-2</v>
      </c>
      <c r="J215" s="374">
        <v>30.42</v>
      </c>
      <c r="K215" s="374">
        <v>0.76</v>
      </c>
    </row>
    <row r="216" spans="2:11" ht="38.25" x14ac:dyDescent="0.25">
      <c r="B216" s="431" t="s">
        <v>190</v>
      </c>
      <c r="C216" s="371" t="s">
        <v>1556</v>
      </c>
      <c r="D216" s="431" t="s">
        <v>31</v>
      </c>
      <c r="E216" s="431" t="s">
        <v>1557</v>
      </c>
      <c r="F216" s="500" t="s">
        <v>199</v>
      </c>
      <c r="G216" s="500"/>
      <c r="H216" s="372" t="s">
        <v>34</v>
      </c>
      <c r="I216" s="373">
        <v>0.99639999999999995</v>
      </c>
      <c r="J216" s="374">
        <v>0.86</v>
      </c>
      <c r="K216" s="374">
        <v>0.85</v>
      </c>
    </row>
    <row r="217" spans="2:11" ht="38.25" x14ac:dyDescent="0.25">
      <c r="B217" s="431" t="s">
        <v>190</v>
      </c>
      <c r="C217" s="371" t="s">
        <v>1558</v>
      </c>
      <c r="D217" s="431" t="s">
        <v>31</v>
      </c>
      <c r="E217" s="431" t="s">
        <v>1559</v>
      </c>
      <c r="F217" s="500" t="s">
        <v>199</v>
      </c>
      <c r="G217" s="500"/>
      <c r="H217" s="372" t="s">
        <v>1226</v>
      </c>
      <c r="I217" s="373">
        <v>3.0800000000000001E-2</v>
      </c>
      <c r="J217" s="374">
        <v>29.54</v>
      </c>
      <c r="K217" s="374">
        <v>0.9</v>
      </c>
    </row>
    <row r="218" spans="2:11" ht="38.25" x14ac:dyDescent="0.25">
      <c r="B218" s="431" t="s">
        <v>190</v>
      </c>
      <c r="C218" s="371" t="s">
        <v>1560</v>
      </c>
      <c r="D218" s="431" t="s">
        <v>31</v>
      </c>
      <c r="E218" s="431" t="s">
        <v>1561</v>
      </c>
      <c r="F218" s="500" t="s">
        <v>199</v>
      </c>
      <c r="G218" s="500"/>
      <c r="H218" s="372" t="s">
        <v>2</v>
      </c>
      <c r="I218" s="373">
        <v>1.0740000000000001</v>
      </c>
      <c r="J218" s="374">
        <v>12.05</v>
      </c>
      <c r="K218" s="374">
        <v>12.94</v>
      </c>
    </row>
    <row r="219" spans="2:11" ht="38.25" x14ac:dyDescent="0.25">
      <c r="B219" s="431" t="s">
        <v>190</v>
      </c>
      <c r="C219" s="371" t="s">
        <v>1562</v>
      </c>
      <c r="D219" s="431" t="s">
        <v>31</v>
      </c>
      <c r="E219" s="431" t="s">
        <v>1563</v>
      </c>
      <c r="F219" s="500" t="s">
        <v>199</v>
      </c>
      <c r="G219" s="500"/>
      <c r="H219" s="372" t="s">
        <v>34</v>
      </c>
      <c r="I219" s="373">
        <v>7.7999999999999996E-3</v>
      </c>
      <c r="J219" s="374">
        <v>13.5</v>
      </c>
      <c r="K219" s="374">
        <v>0.1</v>
      </c>
    </row>
    <row r="220" spans="2:11" ht="15" x14ac:dyDescent="0.25">
      <c r="B220" s="432"/>
      <c r="C220" s="432"/>
      <c r="D220" s="432"/>
      <c r="E220" s="432"/>
      <c r="F220" s="432"/>
      <c r="G220" s="375"/>
      <c r="H220" s="432"/>
      <c r="I220" s="375"/>
      <c r="J220" s="375"/>
      <c r="K220"/>
    </row>
    <row r="221" spans="2:11" ht="15.75" thickBot="1" x14ac:dyDescent="0.3">
      <c r="B221" s="432"/>
      <c r="C221" s="432"/>
      <c r="D221" s="432"/>
      <c r="E221" s="432"/>
      <c r="F221" s="432"/>
      <c r="G221" s="375"/>
      <c r="H221" s="432"/>
      <c r="I221" s="432"/>
      <c r="J221" s="375"/>
      <c r="K221"/>
    </row>
    <row r="222" spans="2:11" ht="13.5" thickTop="1" x14ac:dyDescent="0.25">
      <c r="B222" s="376"/>
      <c r="C222" s="376"/>
      <c r="D222" s="376"/>
      <c r="E222" s="376"/>
      <c r="F222" s="376"/>
      <c r="G222" s="376"/>
      <c r="H222" s="376"/>
      <c r="I222" s="376"/>
      <c r="J222" s="376"/>
      <c r="K222" s="376"/>
    </row>
    <row r="223" spans="2:11" ht="15" x14ac:dyDescent="0.25">
      <c r="B223" s="433" t="s">
        <v>1564</v>
      </c>
      <c r="C223" s="361" t="s">
        <v>0</v>
      </c>
      <c r="D223" s="433" t="s">
        <v>185</v>
      </c>
      <c r="E223" s="433" t="s">
        <v>83</v>
      </c>
      <c r="F223" s="498" t="s">
        <v>1</v>
      </c>
      <c r="G223" s="498"/>
      <c r="H223" s="362" t="s">
        <v>3</v>
      </c>
      <c r="I223" s="361" t="s">
        <v>186</v>
      </c>
      <c r="J223" s="361" t="s">
        <v>187</v>
      </c>
      <c r="K223" s="361" t="s">
        <v>4</v>
      </c>
    </row>
    <row r="224" spans="2:11" ht="25.5" x14ac:dyDescent="0.25">
      <c r="B224" s="434" t="s">
        <v>7</v>
      </c>
      <c r="C224" s="363" t="s">
        <v>1434</v>
      </c>
      <c r="D224" s="434" t="s">
        <v>31</v>
      </c>
      <c r="E224" s="434" t="s">
        <v>1435</v>
      </c>
      <c r="F224" s="499" t="s">
        <v>1565</v>
      </c>
      <c r="G224" s="499"/>
      <c r="H224" s="364" t="s">
        <v>2</v>
      </c>
      <c r="I224" s="365">
        <v>1</v>
      </c>
      <c r="J224" s="366">
        <v>13.37</v>
      </c>
      <c r="K224" s="366">
        <v>13.37</v>
      </c>
    </row>
    <row r="225" spans="2:11" ht="38.25" x14ac:dyDescent="0.25">
      <c r="B225" s="430" t="s">
        <v>189</v>
      </c>
      <c r="C225" s="367" t="s">
        <v>1566</v>
      </c>
      <c r="D225" s="430" t="s">
        <v>31</v>
      </c>
      <c r="E225" s="430" t="s">
        <v>1567</v>
      </c>
      <c r="F225" s="497" t="s">
        <v>188</v>
      </c>
      <c r="G225" s="497"/>
      <c r="H225" s="368" t="s">
        <v>32</v>
      </c>
      <c r="I225" s="369">
        <v>0.312</v>
      </c>
      <c r="J225" s="370">
        <v>23.41</v>
      </c>
      <c r="K225" s="370">
        <v>7.3</v>
      </c>
    </row>
    <row r="226" spans="2:11" ht="38.25" x14ac:dyDescent="0.25">
      <c r="B226" s="430" t="s">
        <v>189</v>
      </c>
      <c r="C226" s="367" t="s">
        <v>202</v>
      </c>
      <c r="D226" s="430" t="s">
        <v>31</v>
      </c>
      <c r="E226" s="430" t="s">
        <v>48</v>
      </c>
      <c r="F226" s="497" t="s">
        <v>188</v>
      </c>
      <c r="G226" s="497"/>
      <c r="H226" s="368" t="s">
        <v>32</v>
      </c>
      <c r="I226" s="369">
        <v>0.114</v>
      </c>
      <c r="J226" s="370">
        <v>17.43</v>
      </c>
      <c r="K226" s="370">
        <v>1.98</v>
      </c>
    </row>
    <row r="227" spans="2:11" ht="38.25" x14ac:dyDescent="0.25">
      <c r="B227" s="431" t="s">
        <v>190</v>
      </c>
      <c r="C227" s="371" t="s">
        <v>1568</v>
      </c>
      <c r="D227" s="431" t="s">
        <v>31</v>
      </c>
      <c r="E227" s="431" t="s">
        <v>1569</v>
      </c>
      <c r="F227" s="500" t="s">
        <v>199</v>
      </c>
      <c r="G227" s="500"/>
      <c r="H227" s="372" t="s">
        <v>22</v>
      </c>
      <c r="I227" s="373">
        <v>0.1</v>
      </c>
      <c r="J227" s="374">
        <v>0.87</v>
      </c>
      <c r="K227" s="374">
        <v>0.08</v>
      </c>
    </row>
    <row r="228" spans="2:11" ht="38.25" x14ac:dyDescent="0.25">
      <c r="B228" s="431" t="s">
        <v>190</v>
      </c>
      <c r="C228" s="371" t="s">
        <v>1570</v>
      </c>
      <c r="D228" s="431" t="s">
        <v>31</v>
      </c>
      <c r="E228" s="431" t="s">
        <v>1571</v>
      </c>
      <c r="F228" s="500" t="s">
        <v>199</v>
      </c>
      <c r="G228" s="500"/>
      <c r="H228" s="372" t="s">
        <v>34</v>
      </c>
      <c r="I228" s="373">
        <v>1.5550200000000001</v>
      </c>
      <c r="J228" s="374">
        <v>2.58</v>
      </c>
      <c r="K228" s="374">
        <v>4.01</v>
      </c>
    </row>
    <row r="229" spans="2:11" ht="15" x14ac:dyDescent="0.25">
      <c r="B229" s="432"/>
      <c r="C229" s="432"/>
      <c r="D229" s="432"/>
      <c r="E229" s="432"/>
      <c r="F229" s="432"/>
      <c r="G229" s="375"/>
      <c r="H229" s="432"/>
      <c r="I229" s="375"/>
      <c r="J229" s="375"/>
      <c r="K229"/>
    </row>
    <row r="230" spans="2:11" ht="15.75" thickBot="1" x14ac:dyDescent="0.3">
      <c r="B230" s="432"/>
      <c r="C230" s="432"/>
      <c r="D230" s="432"/>
      <c r="E230" s="432"/>
      <c r="F230" s="432"/>
      <c r="G230" s="375"/>
      <c r="H230" s="432"/>
      <c r="I230" s="432"/>
      <c r="J230" s="375"/>
      <c r="K230"/>
    </row>
    <row r="231" spans="2:11" ht="13.5" thickTop="1" x14ac:dyDescent="0.25">
      <c r="B231" s="376"/>
      <c r="C231" s="376"/>
      <c r="D231" s="376"/>
      <c r="E231" s="376"/>
      <c r="F231" s="376"/>
      <c r="G231" s="376"/>
      <c r="H231" s="376"/>
      <c r="I231" s="376"/>
      <c r="J231" s="376"/>
      <c r="K231" s="376"/>
    </row>
    <row r="232" spans="2:11" ht="15" x14ac:dyDescent="0.25">
      <c r="B232" s="433" t="s">
        <v>1572</v>
      </c>
      <c r="C232" s="361" t="s">
        <v>0</v>
      </c>
      <c r="D232" s="433" t="s">
        <v>185</v>
      </c>
      <c r="E232" s="433" t="s">
        <v>83</v>
      </c>
      <c r="F232" s="498" t="s">
        <v>1</v>
      </c>
      <c r="G232" s="498"/>
      <c r="H232" s="362" t="s">
        <v>3</v>
      </c>
      <c r="I232" s="361" t="s">
        <v>186</v>
      </c>
      <c r="J232" s="361" t="s">
        <v>187</v>
      </c>
      <c r="K232" s="361" t="s">
        <v>4</v>
      </c>
    </row>
    <row r="233" spans="2:11" ht="25.5" x14ac:dyDescent="0.25">
      <c r="B233" s="434" t="s">
        <v>7</v>
      </c>
      <c r="C233" s="363" t="s">
        <v>1426</v>
      </c>
      <c r="D233" s="434" t="s">
        <v>31</v>
      </c>
      <c r="E233" s="434" t="s">
        <v>1427</v>
      </c>
      <c r="F233" s="499" t="s">
        <v>1565</v>
      </c>
      <c r="G233" s="499"/>
      <c r="H233" s="364" t="s">
        <v>2</v>
      </c>
      <c r="I233" s="365">
        <v>1</v>
      </c>
      <c r="J233" s="366">
        <v>9.99</v>
      </c>
      <c r="K233" s="366">
        <v>9.99</v>
      </c>
    </row>
    <row r="234" spans="2:11" ht="38.25" x14ac:dyDescent="0.25">
      <c r="B234" s="430" t="s">
        <v>189</v>
      </c>
      <c r="C234" s="367" t="s">
        <v>202</v>
      </c>
      <c r="D234" s="430" t="s">
        <v>31</v>
      </c>
      <c r="E234" s="430" t="s">
        <v>48</v>
      </c>
      <c r="F234" s="497" t="s">
        <v>188</v>
      </c>
      <c r="G234" s="497"/>
      <c r="H234" s="368" t="s">
        <v>32</v>
      </c>
      <c r="I234" s="369">
        <v>2.1999999999999999E-2</v>
      </c>
      <c r="J234" s="370">
        <v>17.43</v>
      </c>
      <c r="K234" s="370">
        <v>0.38</v>
      </c>
    </row>
    <row r="235" spans="2:11" ht="38.25" x14ac:dyDescent="0.25">
      <c r="B235" s="430" t="s">
        <v>189</v>
      </c>
      <c r="C235" s="367" t="s">
        <v>1573</v>
      </c>
      <c r="D235" s="430" t="s">
        <v>31</v>
      </c>
      <c r="E235" s="430" t="s">
        <v>1574</v>
      </c>
      <c r="F235" s="497" t="s">
        <v>1337</v>
      </c>
      <c r="G235" s="497"/>
      <c r="H235" s="368" t="s">
        <v>1338</v>
      </c>
      <c r="I235" s="369">
        <v>8.2000000000000007E-3</v>
      </c>
      <c r="J235" s="370">
        <v>24.99</v>
      </c>
      <c r="K235" s="370">
        <v>0.2</v>
      </c>
    </row>
    <row r="236" spans="2:11" ht="38.25" x14ac:dyDescent="0.25">
      <c r="B236" s="430" t="s">
        <v>189</v>
      </c>
      <c r="C236" s="367" t="s">
        <v>1575</v>
      </c>
      <c r="D236" s="430" t="s">
        <v>31</v>
      </c>
      <c r="E236" s="430" t="s">
        <v>1576</v>
      </c>
      <c r="F236" s="497" t="s">
        <v>1337</v>
      </c>
      <c r="G236" s="497"/>
      <c r="H236" s="368" t="s">
        <v>1339</v>
      </c>
      <c r="I236" s="369">
        <v>5.0599999999999999E-2</v>
      </c>
      <c r="J236" s="370">
        <v>24</v>
      </c>
      <c r="K236" s="370">
        <v>1.21</v>
      </c>
    </row>
    <row r="237" spans="2:11" ht="38.25" x14ac:dyDescent="0.25">
      <c r="B237" s="431" t="s">
        <v>190</v>
      </c>
      <c r="C237" s="371" t="s">
        <v>1577</v>
      </c>
      <c r="D237" s="431" t="s">
        <v>31</v>
      </c>
      <c r="E237" s="431" t="s">
        <v>1578</v>
      </c>
      <c r="F237" s="500" t="s">
        <v>199</v>
      </c>
      <c r="G237" s="500"/>
      <c r="H237" s="372" t="s">
        <v>1551</v>
      </c>
      <c r="I237" s="373">
        <v>0.37</v>
      </c>
      <c r="J237" s="374">
        <v>22.18</v>
      </c>
      <c r="K237" s="374">
        <v>8.1999999999999993</v>
      </c>
    </row>
    <row r="238" spans="2:11" ht="15" x14ac:dyDescent="0.25">
      <c r="B238" s="432"/>
      <c r="C238" s="432"/>
      <c r="D238" s="432"/>
      <c r="E238" s="432"/>
      <c r="F238" s="432"/>
      <c r="G238" s="375"/>
      <c r="H238" s="432"/>
      <c r="I238" s="375"/>
      <c r="J238" s="375"/>
      <c r="K238"/>
    </row>
    <row r="239" spans="2:11" ht="15.75" thickBot="1" x14ac:dyDescent="0.3">
      <c r="B239" s="432"/>
      <c r="C239" s="432"/>
      <c r="D239" s="432"/>
      <c r="E239" s="432"/>
      <c r="F239" s="432"/>
      <c r="G239" s="375"/>
      <c r="H239" s="432"/>
      <c r="I239" s="432"/>
      <c r="J239" s="375"/>
      <c r="K239"/>
    </row>
    <row r="240" spans="2:11" ht="13.5" thickTop="1" x14ac:dyDescent="0.25">
      <c r="B240" s="376"/>
      <c r="C240" s="376"/>
      <c r="D240" s="376"/>
      <c r="E240" s="376"/>
      <c r="F240" s="376"/>
      <c r="G240" s="376"/>
      <c r="H240" s="376"/>
      <c r="I240" s="376"/>
      <c r="J240" s="376"/>
      <c r="K240" s="376"/>
    </row>
    <row r="241" spans="2:11" ht="15" x14ac:dyDescent="0.25">
      <c r="B241" s="433" t="s">
        <v>132</v>
      </c>
      <c r="C241" s="361" t="s">
        <v>0</v>
      </c>
      <c r="D241" s="433" t="s">
        <v>185</v>
      </c>
      <c r="E241" s="433" t="s">
        <v>83</v>
      </c>
      <c r="F241" s="498" t="s">
        <v>1</v>
      </c>
      <c r="G241" s="498"/>
      <c r="H241" s="362" t="s">
        <v>3</v>
      </c>
      <c r="I241" s="361" t="s">
        <v>186</v>
      </c>
      <c r="J241" s="361" t="s">
        <v>187</v>
      </c>
      <c r="K241" s="361" t="s">
        <v>4</v>
      </c>
    </row>
    <row r="242" spans="2:11" ht="25.5" x14ac:dyDescent="0.25">
      <c r="B242" s="434" t="s">
        <v>7</v>
      </c>
      <c r="C242" s="363" t="s">
        <v>864</v>
      </c>
      <c r="D242" s="434" t="s">
        <v>865</v>
      </c>
      <c r="E242" s="434" t="s">
        <v>866</v>
      </c>
      <c r="F242" s="499" t="s">
        <v>1069</v>
      </c>
      <c r="G242" s="499"/>
      <c r="H242" s="364" t="s">
        <v>22</v>
      </c>
      <c r="I242" s="365">
        <v>1</v>
      </c>
      <c r="J242" s="366">
        <v>10.17</v>
      </c>
      <c r="K242" s="366">
        <v>10.17</v>
      </c>
    </row>
    <row r="243" spans="2:11" ht="25.5" x14ac:dyDescent="0.25">
      <c r="B243" s="431" t="s">
        <v>190</v>
      </c>
      <c r="C243" s="371" t="s">
        <v>1070</v>
      </c>
      <c r="D243" s="431" t="s">
        <v>865</v>
      </c>
      <c r="E243" s="431" t="s">
        <v>1071</v>
      </c>
      <c r="F243" s="500" t="s">
        <v>191</v>
      </c>
      <c r="G243" s="500"/>
      <c r="H243" s="372" t="s">
        <v>32</v>
      </c>
      <c r="I243" s="373">
        <v>0.13</v>
      </c>
      <c r="J243" s="374">
        <v>15.53</v>
      </c>
      <c r="K243" s="374">
        <v>2.0099999999999998</v>
      </c>
    </row>
    <row r="244" spans="2:11" ht="25.5" x14ac:dyDescent="0.25">
      <c r="B244" s="431" t="s">
        <v>190</v>
      </c>
      <c r="C244" s="371" t="s">
        <v>1072</v>
      </c>
      <c r="D244" s="431" t="s">
        <v>865</v>
      </c>
      <c r="E244" s="431" t="s">
        <v>225</v>
      </c>
      <c r="F244" s="500" t="s">
        <v>191</v>
      </c>
      <c r="G244" s="500"/>
      <c r="H244" s="372" t="s">
        <v>32</v>
      </c>
      <c r="I244" s="373">
        <v>0.13</v>
      </c>
      <c r="J244" s="374">
        <v>22.11</v>
      </c>
      <c r="K244" s="374">
        <v>2.87</v>
      </c>
    </row>
    <row r="245" spans="2:11" ht="25.5" x14ac:dyDescent="0.25">
      <c r="B245" s="431" t="s">
        <v>190</v>
      </c>
      <c r="C245" s="371" t="s">
        <v>1073</v>
      </c>
      <c r="D245" s="431" t="s">
        <v>865</v>
      </c>
      <c r="E245" s="431" t="s">
        <v>1074</v>
      </c>
      <c r="F245" s="500" t="s">
        <v>199</v>
      </c>
      <c r="G245" s="500"/>
      <c r="H245" s="372" t="s">
        <v>22</v>
      </c>
      <c r="I245" s="373">
        <v>1</v>
      </c>
      <c r="J245" s="374">
        <v>1.48</v>
      </c>
      <c r="K245" s="374">
        <v>1.48</v>
      </c>
    </row>
    <row r="246" spans="2:11" ht="25.5" x14ac:dyDescent="0.25">
      <c r="B246" s="431" t="s">
        <v>190</v>
      </c>
      <c r="C246" s="371" t="s">
        <v>1075</v>
      </c>
      <c r="D246" s="431" t="s">
        <v>865</v>
      </c>
      <c r="E246" s="431" t="s">
        <v>1076</v>
      </c>
      <c r="F246" s="500" t="s">
        <v>199</v>
      </c>
      <c r="G246" s="500"/>
      <c r="H246" s="372" t="s">
        <v>22</v>
      </c>
      <c r="I246" s="373">
        <v>1</v>
      </c>
      <c r="J246" s="374">
        <v>0.22</v>
      </c>
      <c r="K246" s="374">
        <v>0.22</v>
      </c>
    </row>
    <row r="247" spans="2:11" ht="25.5" x14ac:dyDescent="0.25">
      <c r="B247" s="431" t="s">
        <v>190</v>
      </c>
      <c r="C247" s="371" t="s">
        <v>1077</v>
      </c>
      <c r="D247" s="431" t="s">
        <v>865</v>
      </c>
      <c r="E247" s="431" t="s">
        <v>1078</v>
      </c>
      <c r="F247" s="500" t="s">
        <v>199</v>
      </c>
      <c r="G247" s="500"/>
      <c r="H247" s="372" t="s">
        <v>22</v>
      </c>
      <c r="I247" s="373">
        <v>1</v>
      </c>
      <c r="J247" s="374">
        <v>3.52</v>
      </c>
      <c r="K247" s="374">
        <v>3.52</v>
      </c>
    </row>
    <row r="248" spans="2:11" ht="25.5" x14ac:dyDescent="0.25">
      <c r="B248" s="431" t="s">
        <v>190</v>
      </c>
      <c r="C248" s="371" t="s">
        <v>1079</v>
      </c>
      <c r="D248" s="431" t="s">
        <v>865</v>
      </c>
      <c r="E248" s="431" t="s">
        <v>1080</v>
      </c>
      <c r="F248" s="500" t="s">
        <v>199</v>
      </c>
      <c r="G248" s="500"/>
      <c r="H248" s="372" t="s">
        <v>22</v>
      </c>
      <c r="I248" s="373">
        <v>1</v>
      </c>
      <c r="J248" s="374">
        <v>7.0000000000000007E-2</v>
      </c>
      <c r="K248" s="374">
        <v>7.0000000000000007E-2</v>
      </c>
    </row>
    <row r="249" spans="2:11" ht="15" x14ac:dyDescent="0.25">
      <c r="B249" s="432"/>
      <c r="C249" s="432"/>
      <c r="D249" s="432"/>
      <c r="E249" s="432"/>
      <c r="F249" s="432"/>
      <c r="G249" s="375"/>
      <c r="H249" s="432"/>
      <c r="I249" s="375"/>
      <c r="J249" s="375"/>
      <c r="K249"/>
    </row>
    <row r="250" spans="2:11" ht="15.75" thickBot="1" x14ac:dyDescent="0.3">
      <c r="B250" s="432"/>
      <c r="C250" s="432"/>
      <c r="D250" s="432"/>
      <c r="E250" s="432"/>
      <c r="F250" s="432"/>
      <c r="G250" s="375"/>
      <c r="H250" s="432"/>
      <c r="I250" s="432"/>
      <c r="J250" s="375"/>
      <c r="K250"/>
    </row>
    <row r="251" spans="2:11" ht="13.5" thickTop="1" x14ac:dyDescent="0.25">
      <c r="B251" s="376"/>
      <c r="C251" s="376"/>
      <c r="D251" s="376"/>
      <c r="E251" s="376"/>
      <c r="F251" s="376"/>
      <c r="G251" s="376"/>
      <c r="H251" s="376"/>
      <c r="I251" s="376"/>
      <c r="J251" s="376"/>
      <c r="K251" s="376"/>
    </row>
    <row r="252" spans="2:11" ht="15" x14ac:dyDescent="0.25">
      <c r="B252" s="433" t="s">
        <v>746</v>
      </c>
      <c r="C252" s="361" t="s">
        <v>0</v>
      </c>
      <c r="D252" s="433" t="s">
        <v>185</v>
      </c>
      <c r="E252" s="433" t="s">
        <v>83</v>
      </c>
      <c r="F252" s="498" t="s">
        <v>1</v>
      </c>
      <c r="G252" s="498"/>
      <c r="H252" s="362" t="s">
        <v>3</v>
      </c>
      <c r="I252" s="361" t="s">
        <v>186</v>
      </c>
      <c r="J252" s="361" t="s">
        <v>187</v>
      </c>
      <c r="K252" s="361" t="s">
        <v>4</v>
      </c>
    </row>
    <row r="253" spans="2:11" ht="25.5" x14ac:dyDescent="0.25">
      <c r="B253" s="434" t="s">
        <v>7</v>
      </c>
      <c r="C253" s="363" t="s">
        <v>765</v>
      </c>
      <c r="D253" s="434" t="s">
        <v>125</v>
      </c>
      <c r="E253" s="434" t="s">
        <v>452</v>
      </c>
      <c r="F253" s="499">
        <v>63</v>
      </c>
      <c r="G253" s="499"/>
      <c r="H253" s="364" t="s">
        <v>22</v>
      </c>
      <c r="I253" s="365">
        <v>1</v>
      </c>
      <c r="J253" s="366">
        <v>12.62</v>
      </c>
      <c r="K253" s="366">
        <v>12.62</v>
      </c>
    </row>
    <row r="254" spans="2:11" ht="38.25" x14ac:dyDescent="0.25">
      <c r="B254" s="430" t="s">
        <v>189</v>
      </c>
      <c r="C254" s="367" t="s">
        <v>220</v>
      </c>
      <c r="D254" s="430" t="s">
        <v>31</v>
      </c>
      <c r="E254" s="430" t="s">
        <v>221</v>
      </c>
      <c r="F254" s="497" t="s">
        <v>188</v>
      </c>
      <c r="G254" s="497"/>
      <c r="H254" s="368" t="s">
        <v>32</v>
      </c>
      <c r="I254" s="369">
        <v>0.26</v>
      </c>
      <c r="J254" s="370">
        <v>22.58</v>
      </c>
      <c r="K254" s="370">
        <v>5.87</v>
      </c>
    </row>
    <row r="255" spans="2:11" ht="38.25" x14ac:dyDescent="0.25">
      <c r="B255" s="430" t="s">
        <v>189</v>
      </c>
      <c r="C255" s="367" t="s">
        <v>218</v>
      </c>
      <c r="D255" s="430" t="s">
        <v>31</v>
      </c>
      <c r="E255" s="430" t="s">
        <v>219</v>
      </c>
      <c r="F255" s="497" t="s">
        <v>188</v>
      </c>
      <c r="G255" s="497"/>
      <c r="H255" s="368" t="s">
        <v>32</v>
      </c>
      <c r="I255" s="369">
        <v>0.26</v>
      </c>
      <c r="J255" s="370">
        <v>18.48</v>
      </c>
      <c r="K255" s="370">
        <v>4.8</v>
      </c>
    </row>
    <row r="256" spans="2:11" x14ac:dyDescent="0.25">
      <c r="B256" s="431" t="s">
        <v>190</v>
      </c>
      <c r="C256" s="371" t="s">
        <v>827</v>
      </c>
      <c r="D256" s="431" t="s">
        <v>214</v>
      </c>
      <c r="E256" s="431" t="s">
        <v>828</v>
      </c>
      <c r="F256" s="500" t="s">
        <v>199</v>
      </c>
      <c r="G256" s="500"/>
      <c r="H256" s="372" t="s">
        <v>22</v>
      </c>
      <c r="I256" s="373">
        <v>1</v>
      </c>
      <c r="J256" s="374">
        <v>1.95</v>
      </c>
      <c r="K256" s="374">
        <v>1.95</v>
      </c>
    </row>
    <row r="257" spans="2:11" ht="15" x14ac:dyDescent="0.25">
      <c r="B257" s="432"/>
      <c r="C257" s="432"/>
      <c r="D257" s="432"/>
      <c r="E257" s="432"/>
      <c r="F257" s="432"/>
      <c r="G257" s="375"/>
      <c r="H257" s="432"/>
      <c r="I257" s="375"/>
      <c r="J257" s="375"/>
      <c r="K257"/>
    </row>
    <row r="258" spans="2:11" ht="15.75" thickBot="1" x14ac:dyDescent="0.3">
      <c r="B258" s="432"/>
      <c r="C258" s="432"/>
      <c r="D258" s="432"/>
      <c r="E258" s="432"/>
      <c r="F258" s="432"/>
      <c r="G258" s="375"/>
      <c r="H258" s="432"/>
      <c r="I258" s="432"/>
      <c r="J258" s="375"/>
      <c r="K258"/>
    </row>
    <row r="259" spans="2:11" ht="13.5" thickTop="1" x14ac:dyDescent="0.25">
      <c r="B259" s="376"/>
      <c r="C259" s="376"/>
      <c r="D259" s="376"/>
      <c r="E259" s="376"/>
      <c r="F259" s="376"/>
      <c r="G259" s="376"/>
      <c r="H259" s="376"/>
      <c r="I259" s="376"/>
      <c r="J259" s="376"/>
      <c r="K259" s="376"/>
    </row>
    <row r="260" spans="2:11" ht="15" x14ac:dyDescent="0.25">
      <c r="B260" s="433" t="s">
        <v>747</v>
      </c>
      <c r="C260" s="361" t="s">
        <v>0</v>
      </c>
      <c r="D260" s="433" t="s">
        <v>185</v>
      </c>
      <c r="E260" s="433" t="s">
        <v>83</v>
      </c>
      <c r="F260" s="498" t="s">
        <v>1</v>
      </c>
      <c r="G260" s="498"/>
      <c r="H260" s="362" t="s">
        <v>3</v>
      </c>
      <c r="I260" s="361" t="s">
        <v>186</v>
      </c>
      <c r="J260" s="361" t="s">
        <v>187</v>
      </c>
      <c r="K260" s="361" t="s">
        <v>4</v>
      </c>
    </row>
    <row r="261" spans="2:11" ht="25.5" x14ac:dyDescent="0.25">
      <c r="B261" s="434" t="s">
        <v>7</v>
      </c>
      <c r="C261" s="363" t="s">
        <v>307</v>
      </c>
      <c r="D261" s="434" t="s">
        <v>214</v>
      </c>
      <c r="E261" s="434" t="s">
        <v>308</v>
      </c>
      <c r="F261" s="499" t="s">
        <v>1305</v>
      </c>
      <c r="G261" s="499"/>
      <c r="H261" s="364" t="s">
        <v>22</v>
      </c>
      <c r="I261" s="365">
        <v>1</v>
      </c>
      <c r="J261" s="366">
        <v>20.100000000000001</v>
      </c>
      <c r="K261" s="366">
        <v>20.100000000000001</v>
      </c>
    </row>
    <row r="262" spans="2:11" ht="38.25" x14ac:dyDescent="0.25">
      <c r="B262" s="430" t="s">
        <v>189</v>
      </c>
      <c r="C262" s="367" t="s">
        <v>220</v>
      </c>
      <c r="D262" s="430" t="s">
        <v>31</v>
      </c>
      <c r="E262" s="430" t="s">
        <v>221</v>
      </c>
      <c r="F262" s="497" t="s">
        <v>188</v>
      </c>
      <c r="G262" s="497"/>
      <c r="H262" s="368" t="s">
        <v>32</v>
      </c>
      <c r="I262" s="369">
        <v>0.26600000000000001</v>
      </c>
      <c r="J262" s="370">
        <v>22.58</v>
      </c>
      <c r="K262" s="370">
        <v>6</v>
      </c>
    </row>
    <row r="263" spans="2:11" ht="38.25" x14ac:dyDescent="0.25">
      <c r="B263" s="430" t="s">
        <v>189</v>
      </c>
      <c r="C263" s="367" t="s">
        <v>218</v>
      </c>
      <c r="D263" s="430" t="s">
        <v>31</v>
      </c>
      <c r="E263" s="430" t="s">
        <v>219</v>
      </c>
      <c r="F263" s="497" t="s">
        <v>188</v>
      </c>
      <c r="G263" s="497"/>
      <c r="H263" s="368" t="s">
        <v>32</v>
      </c>
      <c r="I263" s="369">
        <v>0.26600000000000001</v>
      </c>
      <c r="J263" s="370">
        <v>18.48</v>
      </c>
      <c r="K263" s="370">
        <v>4.91</v>
      </c>
    </row>
    <row r="264" spans="2:11" x14ac:dyDescent="0.25">
      <c r="B264" s="431" t="s">
        <v>190</v>
      </c>
      <c r="C264" s="371" t="s">
        <v>329</v>
      </c>
      <c r="D264" s="431" t="s">
        <v>214</v>
      </c>
      <c r="E264" s="431" t="s">
        <v>330</v>
      </c>
      <c r="F264" s="500" t="s">
        <v>199</v>
      </c>
      <c r="G264" s="500"/>
      <c r="H264" s="372" t="s">
        <v>22</v>
      </c>
      <c r="I264" s="373">
        <v>1</v>
      </c>
      <c r="J264" s="374">
        <v>9.19</v>
      </c>
      <c r="K264" s="374">
        <v>9.19</v>
      </c>
    </row>
    <row r="265" spans="2:11" ht="15" x14ac:dyDescent="0.25">
      <c r="B265" s="432"/>
      <c r="C265" s="432"/>
      <c r="D265" s="432"/>
      <c r="E265" s="432"/>
      <c r="F265" s="432"/>
      <c r="G265" s="375"/>
      <c r="H265" s="432"/>
      <c r="I265" s="375"/>
      <c r="J265" s="375"/>
      <c r="K265"/>
    </row>
    <row r="266" spans="2:11" ht="15.75" thickBot="1" x14ac:dyDescent="0.3">
      <c r="B266" s="432"/>
      <c r="C266" s="432"/>
      <c r="D266" s="432"/>
      <c r="E266" s="432"/>
      <c r="F266" s="432"/>
      <c r="G266" s="375"/>
      <c r="H266" s="432"/>
      <c r="I266" s="432"/>
      <c r="J266" s="375"/>
      <c r="K266"/>
    </row>
    <row r="267" spans="2:11" ht="13.5" thickTop="1" x14ac:dyDescent="0.25">
      <c r="B267" s="376"/>
      <c r="C267" s="376"/>
      <c r="D267" s="376"/>
      <c r="E267" s="376"/>
      <c r="F267" s="376"/>
      <c r="G267" s="376"/>
      <c r="H267" s="376"/>
      <c r="I267" s="376"/>
      <c r="J267" s="376"/>
      <c r="K267" s="376"/>
    </row>
    <row r="268" spans="2:11" ht="15" x14ac:dyDescent="0.25">
      <c r="B268" s="433" t="s">
        <v>748</v>
      </c>
      <c r="C268" s="361" t="s">
        <v>0</v>
      </c>
      <c r="D268" s="433" t="s">
        <v>185</v>
      </c>
      <c r="E268" s="433" t="s">
        <v>83</v>
      </c>
      <c r="F268" s="498" t="s">
        <v>1</v>
      </c>
      <c r="G268" s="498"/>
      <c r="H268" s="362" t="s">
        <v>3</v>
      </c>
      <c r="I268" s="361" t="s">
        <v>186</v>
      </c>
      <c r="J268" s="361" t="s">
        <v>187</v>
      </c>
      <c r="K268" s="361" t="s">
        <v>4</v>
      </c>
    </row>
    <row r="269" spans="2:11" ht="25.5" x14ac:dyDescent="0.25">
      <c r="B269" s="434" t="s">
        <v>7</v>
      </c>
      <c r="C269" s="363" t="s">
        <v>766</v>
      </c>
      <c r="D269" s="434" t="s">
        <v>125</v>
      </c>
      <c r="E269" s="434" t="s">
        <v>455</v>
      </c>
      <c r="F269" s="499">
        <v>63</v>
      </c>
      <c r="G269" s="499"/>
      <c r="H269" s="364" t="s">
        <v>22</v>
      </c>
      <c r="I269" s="365">
        <v>1</v>
      </c>
      <c r="J269" s="366">
        <v>5.29</v>
      </c>
      <c r="K269" s="366">
        <v>5.29</v>
      </c>
    </row>
    <row r="270" spans="2:11" ht="38.25" x14ac:dyDescent="0.25">
      <c r="B270" s="430" t="s">
        <v>189</v>
      </c>
      <c r="C270" s="367" t="s">
        <v>220</v>
      </c>
      <c r="D270" s="430" t="s">
        <v>31</v>
      </c>
      <c r="E270" s="430" t="s">
        <v>221</v>
      </c>
      <c r="F270" s="497" t="s">
        <v>188</v>
      </c>
      <c r="G270" s="497"/>
      <c r="H270" s="368" t="s">
        <v>32</v>
      </c>
      <c r="I270" s="369">
        <v>0.1</v>
      </c>
      <c r="J270" s="370">
        <v>22.58</v>
      </c>
      <c r="K270" s="370">
        <v>2.25</v>
      </c>
    </row>
    <row r="271" spans="2:11" ht="38.25" x14ac:dyDescent="0.25">
      <c r="B271" s="430" t="s">
        <v>189</v>
      </c>
      <c r="C271" s="367" t="s">
        <v>218</v>
      </c>
      <c r="D271" s="430" t="s">
        <v>31</v>
      </c>
      <c r="E271" s="430" t="s">
        <v>219</v>
      </c>
      <c r="F271" s="497" t="s">
        <v>188</v>
      </c>
      <c r="G271" s="497"/>
      <c r="H271" s="368" t="s">
        <v>32</v>
      </c>
      <c r="I271" s="369">
        <v>0.1</v>
      </c>
      <c r="J271" s="370">
        <v>18.48</v>
      </c>
      <c r="K271" s="370">
        <v>1.84</v>
      </c>
    </row>
    <row r="272" spans="2:11" x14ac:dyDescent="0.25">
      <c r="B272" s="431" t="s">
        <v>190</v>
      </c>
      <c r="C272" s="371" t="s">
        <v>829</v>
      </c>
      <c r="D272" s="431" t="s">
        <v>177</v>
      </c>
      <c r="E272" s="431" t="s">
        <v>830</v>
      </c>
      <c r="F272" s="500" t="s">
        <v>199</v>
      </c>
      <c r="G272" s="500"/>
      <c r="H272" s="372" t="s">
        <v>227</v>
      </c>
      <c r="I272" s="373">
        <v>1</v>
      </c>
      <c r="J272" s="374">
        <v>1.2</v>
      </c>
      <c r="K272" s="374">
        <v>1.2</v>
      </c>
    </row>
    <row r="273" spans="2:11" ht="15" x14ac:dyDescent="0.25">
      <c r="B273" s="432"/>
      <c r="C273" s="432"/>
      <c r="D273" s="432"/>
      <c r="E273" s="432"/>
      <c r="F273" s="432"/>
      <c r="G273" s="375"/>
      <c r="H273" s="432"/>
      <c r="I273" s="375"/>
      <c r="J273" s="375"/>
      <c r="K273"/>
    </row>
    <row r="274" spans="2:11" ht="15.75" thickBot="1" x14ac:dyDescent="0.3">
      <c r="B274" s="432"/>
      <c r="C274" s="432"/>
      <c r="D274" s="432"/>
      <c r="E274" s="432"/>
      <c r="F274" s="432"/>
      <c r="G274" s="375"/>
      <c r="H274" s="432"/>
      <c r="I274" s="432"/>
      <c r="J274" s="375"/>
      <c r="K274"/>
    </row>
    <row r="275" spans="2:11" ht="13.5" thickTop="1" x14ac:dyDescent="0.25">
      <c r="B275" s="376"/>
      <c r="C275" s="376"/>
      <c r="D275" s="376"/>
      <c r="E275" s="376"/>
      <c r="F275" s="376"/>
      <c r="G275" s="376"/>
      <c r="H275" s="376"/>
      <c r="I275" s="376"/>
      <c r="J275" s="376"/>
      <c r="K275" s="376"/>
    </row>
    <row r="276" spans="2:11" ht="15" x14ac:dyDescent="0.25">
      <c r="B276" s="433" t="s">
        <v>749</v>
      </c>
      <c r="C276" s="361" t="s">
        <v>0</v>
      </c>
      <c r="D276" s="433" t="s">
        <v>185</v>
      </c>
      <c r="E276" s="433" t="s">
        <v>83</v>
      </c>
      <c r="F276" s="498" t="s">
        <v>1</v>
      </c>
      <c r="G276" s="498"/>
      <c r="H276" s="362" t="s">
        <v>3</v>
      </c>
      <c r="I276" s="361" t="s">
        <v>186</v>
      </c>
      <c r="J276" s="361" t="s">
        <v>187</v>
      </c>
      <c r="K276" s="361" t="s">
        <v>4</v>
      </c>
    </row>
    <row r="277" spans="2:11" ht="25.5" x14ac:dyDescent="0.25">
      <c r="B277" s="434" t="s">
        <v>7</v>
      </c>
      <c r="C277" s="363" t="s">
        <v>867</v>
      </c>
      <c r="D277" s="434" t="s">
        <v>31</v>
      </c>
      <c r="E277" s="434" t="s">
        <v>868</v>
      </c>
      <c r="F277" s="499" t="s">
        <v>217</v>
      </c>
      <c r="G277" s="499"/>
      <c r="H277" s="364" t="s">
        <v>22</v>
      </c>
      <c r="I277" s="365">
        <v>1</v>
      </c>
      <c r="J277" s="366">
        <v>8.61</v>
      </c>
      <c r="K277" s="366">
        <v>8.61</v>
      </c>
    </row>
    <row r="278" spans="2:11" ht="38.25" x14ac:dyDescent="0.25">
      <c r="B278" s="430" t="s">
        <v>189</v>
      </c>
      <c r="C278" s="367" t="s">
        <v>220</v>
      </c>
      <c r="D278" s="430" t="s">
        <v>31</v>
      </c>
      <c r="E278" s="430" t="s">
        <v>221</v>
      </c>
      <c r="F278" s="497" t="s">
        <v>188</v>
      </c>
      <c r="G278" s="497"/>
      <c r="H278" s="368" t="s">
        <v>32</v>
      </c>
      <c r="I278" s="369">
        <v>0.15</v>
      </c>
      <c r="J278" s="370">
        <v>22.58</v>
      </c>
      <c r="K278" s="370">
        <v>3.38</v>
      </c>
    </row>
    <row r="279" spans="2:11" ht="38.25" x14ac:dyDescent="0.25">
      <c r="B279" s="430" t="s">
        <v>189</v>
      </c>
      <c r="C279" s="367" t="s">
        <v>218</v>
      </c>
      <c r="D279" s="430" t="s">
        <v>31</v>
      </c>
      <c r="E279" s="430" t="s">
        <v>219</v>
      </c>
      <c r="F279" s="497" t="s">
        <v>188</v>
      </c>
      <c r="G279" s="497"/>
      <c r="H279" s="368" t="s">
        <v>32</v>
      </c>
      <c r="I279" s="369">
        <v>0.15</v>
      </c>
      <c r="J279" s="370">
        <v>18.48</v>
      </c>
      <c r="K279" s="370">
        <v>2.77</v>
      </c>
    </row>
    <row r="280" spans="2:11" ht="38.25" x14ac:dyDescent="0.25">
      <c r="B280" s="431" t="s">
        <v>190</v>
      </c>
      <c r="C280" s="371" t="s">
        <v>327</v>
      </c>
      <c r="D280" s="431" t="s">
        <v>31</v>
      </c>
      <c r="E280" s="431" t="s">
        <v>328</v>
      </c>
      <c r="F280" s="500" t="s">
        <v>199</v>
      </c>
      <c r="G280" s="500"/>
      <c r="H280" s="372" t="s">
        <v>22</v>
      </c>
      <c r="I280" s="373">
        <v>1</v>
      </c>
      <c r="J280" s="374">
        <v>2.46</v>
      </c>
      <c r="K280" s="374">
        <v>2.46</v>
      </c>
    </row>
    <row r="281" spans="2:11" ht="15" x14ac:dyDescent="0.25">
      <c r="B281" s="432"/>
      <c r="C281" s="432"/>
      <c r="D281" s="432"/>
      <c r="E281" s="432"/>
      <c r="F281" s="432"/>
      <c r="G281" s="375"/>
      <c r="H281" s="432"/>
      <c r="I281" s="375"/>
      <c r="J281" s="375"/>
      <c r="K281"/>
    </row>
    <row r="282" spans="2:11" ht="15.75" thickBot="1" x14ac:dyDescent="0.3">
      <c r="B282" s="432"/>
      <c r="C282" s="432"/>
      <c r="D282" s="432"/>
      <c r="E282" s="432"/>
      <c r="F282" s="432"/>
      <c r="G282" s="375"/>
      <c r="H282" s="432"/>
      <c r="I282" s="432"/>
      <c r="J282" s="375"/>
      <c r="K282"/>
    </row>
    <row r="283" spans="2:11" ht="13.5" thickTop="1" x14ac:dyDescent="0.25">
      <c r="B283" s="376"/>
      <c r="C283" s="376"/>
      <c r="D283" s="376"/>
      <c r="E283" s="376"/>
      <c r="F283" s="376"/>
      <c r="G283" s="376"/>
      <c r="H283" s="376"/>
      <c r="I283" s="376"/>
      <c r="J283" s="376"/>
      <c r="K283" s="376"/>
    </row>
    <row r="284" spans="2:11" ht="15" x14ac:dyDescent="0.25">
      <c r="B284" s="433" t="s">
        <v>752</v>
      </c>
      <c r="C284" s="361" t="s">
        <v>0</v>
      </c>
      <c r="D284" s="433" t="s">
        <v>185</v>
      </c>
      <c r="E284" s="433" t="s">
        <v>83</v>
      </c>
      <c r="F284" s="498" t="s">
        <v>1</v>
      </c>
      <c r="G284" s="498"/>
      <c r="H284" s="362" t="s">
        <v>3</v>
      </c>
      <c r="I284" s="361" t="s">
        <v>186</v>
      </c>
      <c r="J284" s="361" t="s">
        <v>187</v>
      </c>
      <c r="K284" s="361" t="s">
        <v>4</v>
      </c>
    </row>
    <row r="285" spans="2:11" ht="25.5" x14ac:dyDescent="0.25">
      <c r="B285" s="434" t="s">
        <v>7</v>
      </c>
      <c r="C285" s="363" t="s">
        <v>869</v>
      </c>
      <c r="D285" s="434" t="s">
        <v>31</v>
      </c>
      <c r="E285" s="434" t="s">
        <v>870</v>
      </c>
      <c r="F285" s="499" t="s">
        <v>217</v>
      </c>
      <c r="G285" s="499"/>
      <c r="H285" s="364" t="s">
        <v>22</v>
      </c>
      <c r="I285" s="365">
        <v>1</v>
      </c>
      <c r="J285" s="366">
        <v>10.56</v>
      </c>
      <c r="K285" s="366">
        <v>10.56</v>
      </c>
    </row>
    <row r="286" spans="2:11" ht="38.25" x14ac:dyDescent="0.25">
      <c r="B286" s="430" t="s">
        <v>189</v>
      </c>
      <c r="C286" s="367" t="s">
        <v>218</v>
      </c>
      <c r="D286" s="430" t="s">
        <v>31</v>
      </c>
      <c r="E286" s="430" t="s">
        <v>219</v>
      </c>
      <c r="F286" s="497" t="s">
        <v>188</v>
      </c>
      <c r="G286" s="497"/>
      <c r="H286" s="368" t="s">
        <v>32</v>
      </c>
      <c r="I286" s="369">
        <v>0.15</v>
      </c>
      <c r="J286" s="370">
        <v>18.48</v>
      </c>
      <c r="K286" s="370">
        <v>2.77</v>
      </c>
    </row>
    <row r="287" spans="2:11" ht="38.25" x14ac:dyDescent="0.25">
      <c r="B287" s="430" t="s">
        <v>189</v>
      </c>
      <c r="C287" s="367" t="s">
        <v>220</v>
      </c>
      <c r="D287" s="430" t="s">
        <v>31</v>
      </c>
      <c r="E287" s="430" t="s">
        <v>221</v>
      </c>
      <c r="F287" s="497" t="s">
        <v>188</v>
      </c>
      <c r="G287" s="497"/>
      <c r="H287" s="368" t="s">
        <v>32</v>
      </c>
      <c r="I287" s="369">
        <v>0.15</v>
      </c>
      <c r="J287" s="370">
        <v>22.58</v>
      </c>
      <c r="K287" s="370">
        <v>3.38</v>
      </c>
    </row>
    <row r="288" spans="2:11" ht="38.25" x14ac:dyDescent="0.25">
      <c r="B288" s="431" t="s">
        <v>190</v>
      </c>
      <c r="C288" s="371" t="s">
        <v>1081</v>
      </c>
      <c r="D288" s="431" t="s">
        <v>31</v>
      </c>
      <c r="E288" s="431" t="s">
        <v>1082</v>
      </c>
      <c r="F288" s="500" t="s">
        <v>199</v>
      </c>
      <c r="G288" s="500"/>
      <c r="H288" s="372" t="s">
        <v>22</v>
      </c>
      <c r="I288" s="373">
        <v>1</v>
      </c>
      <c r="J288" s="374">
        <v>4.41</v>
      </c>
      <c r="K288" s="374">
        <v>4.41</v>
      </c>
    </row>
    <row r="289" spans="2:11" ht="15" x14ac:dyDescent="0.25">
      <c r="B289" s="432"/>
      <c r="C289" s="432"/>
      <c r="D289" s="432"/>
      <c r="E289" s="432"/>
      <c r="F289" s="432"/>
      <c r="G289" s="375"/>
      <c r="H289" s="432"/>
      <c r="I289" s="375"/>
      <c r="J289" s="375"/>
      <c r="K289"/>
    </row>
    <row r="290" spans="2:11" ht="15.75" thickBot="1" x14ac:dyDescent="0.3">
      <c r="B290" s="432"/>
      <c r="C290" s="432"/>
      <c r="D290" s="432"/>
      <c r="E290" s="432"/>
      <c r="F290" s="432"/>
      <c r="G290" s="375"/>
      <c r="H290" s="432"/>
      <c r="I290" s="432"/>
      <c r="J290" s="375"/>
      <c r="K290"/>
    </row>
    <row r="291" spans="2:11" ht="13.5" thickTop="1" x14ac:dyDescent="0.25">
      <c r="B291" s="376"/>
      <c r="C291" s="376"/>
      <c r="D291" s="376"/>
      <c r="E291" s="376"/>
      <c r="F291" s="376"/>
      <c r="G291" s="376"/>
      <c r="H291" s="376"/>
      <c r="I291" s="376"/>
      <c r="J291" s="376"/>
      <c r="K291" s="376"/>
    </row>
    <row r="292" spans="2:11" ht="15" x14ac:dyDescent="0.25">
      <c r="B292" s="433" t="s">
        <v>753</v>
      </c>
      <c r="C292" s="361" t="s">
        <v>0</v>
      </c>
      <c r="D292" s="433" t="s">
        <v>185</v>
      </c>
      <c r="E292" s="433" t="s">
        <v>83</v>
      </c>
      <c r="F292" s="498" t="s">
        <v>1</v>
      </c>
      <c r="G292" s="498"/>
      <c r="H292" s="362" t="s">
        <v>3</v>
      </c>
      <c r="I292" s="361" t="s">
        <v>186</v>
      </c>
      <c r="J292" s="361" t="s">
        <v>187</v>
      </c>
      <c r="K292" s="361" t="s">
        <v>4</v>
      </c>
    </row>
    <row r="293" spans="2:11" ht="25.5" x14ac:dyDescent="0.25">
      <c r="B293" s="434" t="s">
        <v>7</v>
      </c>
      <c r="C293" s="363" t="s">
        <v>871</v>
      </c>
      <c r="D293" s="434" t="s">
        <v>177</v>
      </c>
      <c r="E293" s="434" t="s">
        <v>1677</v>
      </c>
      <c r="F293" s="499" t="s">
        <v>1083</v>
      </c>
      <c r="G293" s="499"/>
      <c r="H293" s="364" t="s">
        <v>847</v>
      </c>
      <c r="I293" s="365">
        <v>1</v>
      </c>
      <c r="J293" s="366">
        <v>28.03</v>
      </c>
      <c r="K293" s="366">
        <v>28.03</v>
      </c>
    </row>
    <row r="294" spans="2:11" ht="38.25" x14ac:dyDescent="0.25">
      <c r="B294" s="431" t="s">
        <v>190</v>
      </c>
      <c r="C294" s="371" t="s">
        <v>831</v>
      </c>
      <c r="D294" s="431" t="s">
        <v>31</v>
      </c>
      <c r="E294" s="431" t="s">
        <v>832</v>
      </c>
      <c r="F294" s="500" t="s">
        <v>199</v>
      </c>
      <c r="G294" s="500"/>
      <c r="H294" s="372" t="s">
        <v>22</v>
      </c>
      <c r="I294" s="373">
        <v>1</v>
      </c>
      <c r="J294" s="374">
        <v>28.03</v>
      </c>
      <c r="K294" s="374">
        <v>28.03</v>
      </c>
    </row>
    <row r="295" spans="2:11" ht="15" x14ac:dyDescent="0.25">
      <c r="B295" s="432"/>
      <c r="C295" s="432"/>
      <c r="D295" s="432"/>
      <c r="E295" s="432"/>
      <c r="F295" s="432"/>
      <c r="G295" s="375"/>
      <c r="H295" s="432"/>
      <c r="I295" s="375"/>
      <c r="J295" s="375"/>
      <c r="K295"/>
    </row>
    <row r="296" spans="2:11" ht="15.75" thickBot="1" x14ac:dyDescent="0.3">
      <c r="B296" s="432"/>
      <c r="C296" s="432"/>
      <c r="D296" s="432"/>
      <c r="E296" s="432"/>
      <c r="F296" s="432"/>
      <c r="G296" s="375"/>
      <c r="H296" s="432"/>
      <c r="I296" s="432"/>
      <c r="J296" s="375"/>
      <c r="K296"/>
    </row>
    <row r="297" spans="2:11" ht="13.5" thickTop="1" x14ac:dyDescent="0.25">
      <c r="B297" s="376"/>
      <c r="C297" s="376"/>
      <c r="D297" s="376"/>
      <c r="E297" s="376"/>
      <c r="F297" s="376"/>
      <c r="G297" s="376"/>
      <c r="H297" s="376"/>
      <c r="I297" s="376"/>
      <c r="J297" s="376"/>
      <c r="K297" s="376"/>
    </row>
    <row r="298" spans="2:11" ht="15" x14ac:dyDescent="0.25">
      <c r="B298" s="433" t="s">
        <v>133</v>
      </c>
      <c r="C298" s="361" t="s">
        <v>0</v>
      </c>
      <c r="D298" s="433" t="s">
        <v>185</v>
      </c>
      <c r="E298" s="433" t="s">
        <v>83</v>
      </c>
      <c r="F298" s="498" t="s">
        <v>1</v>
      </c>
      <c r="G298" s="498"/>
      <c r="H298" s="362" t="s">
        <v>3</v>
      </c>
      <c r="I298" s="361" t="s">
        <v>186</v>
      </c>
      <c r="J298" s="361" t="s">
        <v>187</v>
      </c>
      <c r="K298" s="361" t="s">
        <v>4</v>
      </c>
    </row>
    <row r="299" spans="2:11" ht="38.25" x14ac:dyDescent="0.25">
      <c r="B299" s="434" t="s">
        <v>7</v>
      </c>
      <c r="C299" s="363" t="s">
        <v>874</v>
      </c>
      <c r="D299" s="434" t="s">
        <v>875</v>
      </c>
      <c r="E299" s="434" t="s">
        <v>876</v>
      </c>
      <c r="F299" s="499" t="s">
        <v>137</v>
      </c>
      <c r="G299" s="499"/>
      <c r="H299" s="364" t="s">
        <v>877</v>
      </c>
      <c r="I299" s="365">
        <v>1</v>
      </c>
      <c r="J299" s="366">
        <v>14.5</v>
      </c>
      <c r="K299" s="366">
        <v>14.5</v>
      </c>
    </row>
    <row r="300" spans="2:11" ht="38.25" x14ac:dyDescent="0.25">
      <c r="B300" s="430" t="s">
        <v>189</v>
      </c>
      <c r="C300" s="367" t="s">
        <v>1084</v>
      </c>
      <c r="D300" s="430" t="s">
        <v>875</v>
      </c>
      <c r="E300" s="430" t="s">
        <v>1085</v>
      </c>
      <c r="F300" s="497" t="s">
        <v>137</v>
      </c>
      <c r="G300" s="497"/>
      <c r="H300" s="368" t="s">
        <v>1086</v>
      </c>
      <c r="I300" s="369">
        <v>8.1481499999999998E-2</v>
      </c>
      <c r="J300" s="370">
        <v>20.440000000000001</v>
      </c>
      <c r="K300" s="370">
        <v>1.66</v>
      </c>
    </row>
    <row r="301" spans="2:11" ht="38.25" x14ac:dyDescent="0.25">
      <c r="B301" s="430" t="s">
        <v>189</v>
      </c>
      <c r="C301" s="367" t="s">
        <v>1087</v>
      </c>
      <c r="D301" s="430" t="s">
        <v>875</v>
      </c>
      <c r="E301" s="430" t="s">
        <v>221</v>
      </c>
      <c r="F301" s="497" t="s">
        <v>137</v>
      </c>
      <c r="G301" s="497"/>
      <c r="H301" s="368" t="s">
        <v>1086</v>
      </c>
      <c r="I301" s="369">
        <v>8.1481499999999998E-2</v>
      </c>
      <c r="J301" s="370">
        <v>25.49</v>
      </c>
      <c r="K301" s="370">
        <v>2.0699999999999998</v>
      </c>
    </row>
    <row r="302" spans="2:11" ht="38.25" x14ac:dyDescent="0.25">
      <c r="B302" s="431" t="s">
        <v>190</v>
      </c>
      <c r="C302" s="371" t="s">
        <v>1088</v>
      </c>
      <c r="D302" s="431" t="s">
        <v>875</v>
      </c>
      <c r="E302" s="431" t="s">
        <v>1089</v>
      </c>
      <c r="F302" s="500" t="s">
        <v>199</v>
      </c>
      <c r="G302" s="500"/>
      <c r="H302" s="372" t="s">
        <v>877</v>
      </c>
      <c r="I302" s="373">
        <v>1.02</v>
      </c>
      <c r="J302" s="374">
        <v>10.55</v>
      </c>
      <c r="K302" s="374">
        <v>10.76</v>
      </c>
    </row>
    <row r="303" spans="2:11" ht="25.5" x14ac:dyDescent="0.25">
      <c r="B303" s="431" t="s">
        <v>190</v>
      </c>
      <c r="C303" s="371" t="s">
        <v>1090</v>
      </c>
      <c r="D303" s="431" t="s">
        <v>875</v>
      </c>
      <c r="E303" s="431" t="s">
        <v>1091</v>
      </c>
      <c r="F303" s="500" t="s">
        <v>199</v>
      </c>
      <c r="G303" s="500"/>
      <c r="H303" s="372" t="s">
        <v>877</v>
      </c>
      <c r="I303" s="373">
        <v>4.4999999999999998E-2</v>
      </c>
      <c r="J303" s="374">
        <v>0.34</v>
      </c>
      <c r="K303" s="374">
        <v>0.01</v>
      </c>
    </row>
    <row r="304" spans="2:11" ht="15" x14ac:dyDescent="0.25">
      <c r="B304" s="432"/>
      <c r="C304" s="432"/>
      <c r="D304" s="432"/>
      <c r="E304" s="432"/>
      <c r="F304" s="432"/>
      <c r="G304" s="375"/>
      <c r="H304" s="432"/>
      <c r="I304" s="375"/>
      <c r="J304" s="375"/>
      <c r="K304"/>
    </row>
    <row r="305" spans="2:11" ht="15.75" thickBot="1" x14ac:dyDescent="0.3">
      <c r="B305" s="432"/>
      <c r="C305" s="432"/>
      <c r="D305" s="432"/>
      <c r="E305" s="432"/>
      <c r="F305" s="432"/>
      <c r="G305" s="375"/>
      <c r="H305" s="432"/>
      <c r="I305" s="432"/>
      <c r="J305" s="375"/>
      <c r="K305"/>
    </row>
    <row r="306" spans="2:11" ht="13.5" thickTop="1" x14ac:dyDescent="0.25">
      <c r="B306" s="376"/>
      <c r="C306" s="376"/>
      <c r="D306" s="376"/>
      <c r="E306" s="376"/>
      <c r="F306" s="376"/>
      <c r="G306" s="376"/>
      <c r="H306" s="376"/>
      <c r="I306" s="376"/>
      <c r="J306" s="376"/>
      <c r="K306" s="376"/>
    </row>
    <row r="307" spans="2:11" ht="15" x14ac:dyDescent="0.25">
      <c r="B307" s="433" t="s">
        <v>754</v>
      </c>
      <c r="C307" s="361" t="s">
        <v>0</v>
      </c>
      <c r="D307" s="433" t="s">
        <v>185</v>
      </c>
      <c r="E307" s="433" t="s">
        <v>83</v>
      </c>
      <c r="F307" s="498" t="s">
        <v>1</v>
      </c>
      <c r="G307" s="498"/>
      <c r="H307" s="362" t="s">
        <v>3</v>
      </c>
      <c r="I307" s="361" t="s">
        <v>186</v>
      </c>
      <c r="J307" s="361" t="s">
        <v>187</v>
      </c>
      <c r="K307" s="361" t="s">
        <v>4</v>
      </c>
    </row>
    <row r="308" spans="2:11" ht="38.25" x14ac:dyDescent="0.25">
      <c r="B308" s="434" t="s">
        <v>7</v>
      </c>
      <c r="C308" s="363" t="s">
        <v>878</v>
      </c>
      <c r="D308" s="434" t="s">
        <v>875</v>
      </c>
      <c r="E308" s="434" t="s">
        <v>879</v>
      </c>
      <c r="F308" s="499" t="s">
        <v>137</v>
      </c>
      <c r="G308" s="499"/>
      <c r="H308" s="364" t="s">
        <v>877</v>
      </c>
      <c r="I308" s="365">
        <v>1</v>
      </c>
      <c r="J308" s="366">
        <v>21.59</v>
      </c>
      <c r="K308" s="366">
        <v>21.59</v>
      </c>
    </row>
    <row r="309" spans="2:11" ht="38.25" x14ac:dyDescent="0.25">
      <c r="B309" s="430" t="s">
        <v>189</v>
      </c>
      <c r="C309" s="367" t="s">
        <v>1084</v>
      </c>
      <c r="D309" s="430" t="s">
        <v>875</v>
      </c>
      <c r="E309" s="430" t="s">
        <v>1085</v>
      </c>
      <c r="F309" s="497" t="s">
        <v>137</v>
      </c>
      <c r="G309" s="497"/>
      <c r="H309" s="368" t="s">
        <v>1086</v>
      </c>
      <c r="I309" s="369">
        <v>8.1481499999999998E-2</v>
      </c>
      <c r="J309" s="370">
        <v>20.440000000000001</v>
      </c>
      <c r="K309" s="370">
        <v>1.66</v>
      </c>
    </row>
    <row r="310" spans="2:11" ht="38.25" x14ac:dyDescent="0.25">
      <c r="B310" s="430" t="s">
        <v>189</v>
      </c>
      <c r="C310" s="367" t="s">
        <v>1087</v>
      </c>
      <c r="D310" s="430" t="s">
        <v>875</v>
      </c>
      <c r="E310" s="430" t="s">
        <v>221</v>
      </c>
      <c r="F310" s="497" t="s">
        <v>137</v>
      </c>
      <c r="G310" s="497"/>
      <c r="H310" s="368" t="s">
        <v>1086</v>
      </c>
      <c r="I310" s="369">
        <v>8.1481499999999998E-2</v>
      </c>
      <c r="J310" s="370">
        <v>25.49</v>
      </c>
      <c r="K310" s="370">
        <v>2.0699999999999998</v>
      </c>
    </row>
    <row r="311" spans="2:11" ht="38.25" x14ac:dyDescent="0.25">
      <c r="B311" s="431" t="s">
        <v>190</v>
      </c>
      <c r="C311" s="371" t="s">
        <v>1092</v>
      </c>
      <c r="D311" s="431" t="s">
        <v>875</v>
      </c>
      <c r="E311" s="431" t="s">
        <v>1093</v>
      </c>
      <c r="F311" s="500" t="s">
        <v>199</v>
      </c>
      <c r="G311" s="500"/>
      <c r="H311" s="372" t="s">
        <v>877</v>
      </c>
      <c r="I311" s="373">
        <v>1.02</v>
      </c>
      <c r="J311" s="374">
        <v>17.5</v>
      </c>
      <c r="K311" s="374">
        <v>17.850000000000001</v>
      </c>
    </row>
    <row r="312" spans="2:11" ht="25.5" x14ac:dyDescent="0.25">
      <c r="B312" s="431" t="s">
        <v>190</v>
      </c>
      <c r="C312" s="371" t="s">
        <v>1090</v>
      </c>
      <c r="D312" s="431" t="s">
        <v>875</v>
      </c>
      <c r="E312" s="431" t="s">
        <v>1091</v>
      </c>
      <c r="F312" s="500" t="s">
        <v>199</v>
      </c>
      <c r="G312" s="500"/>
      <c r="H312" s="372" t="s">
        <v>877</v>
      </c>
      <c r="I312" s="373">
        <v>4.4999999999999998E-2</v>
      </c>
      <c r="J312" s="374">
        <v>0.34</v>
      </c>
      <c r="K312" s="374">
        <v>0.01</v>
      </c>
    </row>
    <row r="313" spans="2:11" ht="15" x14ac:dyDescent="0.25">
      <c r="B313" s="432"/>
      <c r="C313" s="432"/>
      <c r="D313" s="432"/>
      <c r="E313" s="432"/>
      <c r="F313" s="432"/>
      <c r="G313" s="375"/>
      <c r="H313" s="432"/>
      <c r="I313" s="375"/>
      <c r="J313" s="375"/>
      <c r="K313"/>
    </row>
    <row r="314" spans="2:11" ht="15.75" thickBot="1" x14ac:dyDescent="0.3">
      <c r="B314" s="432"/>
      <c r="C314" s="432"/>
      <c r="D314" s="432"/>
      <c r="E314" s="432"/>
      <c r="F314" s="432"/>
      <c r="G314" s="375"/>
      <c r="H314" s="432"/>
      <c r="I314" s="432"/>
      <c r="J314" s="375"/>
      <c r="K314"/>
    </row>
    <row r="315" spans="2:11" ht="13.5" thickTop="1" x14ac:dyDescent="0.25">
      <c r="B315" s="376"/>
      <c r="C315" s="376"/>
      <c r="D315" s="376"/>
      <c r="E315" s="376"/>
      <c r="F315" s="376"/>
      <c r="G315" s="376"/>
      <c r="H315" s="376"/>
      <c r="I315" s="376"/>
      <c r="J315" s="376"/>
      <c r="K315" s="376"/>
    </row>
    <row r="316" spans="2:11" ht="15" x14ac:dyDescent="0.25">
      <c r="B316" s="433" t="s">
        <v>755</v>
      </c>
      <c r="C316" s="361" t="s">
        <v>0</v>
      </c>
      <c r="D316" s="433" t="s">
        <v>185</v>
      </c>
      <c r="E316" s="433" t="s">
        <v>83</v>
      </c>
      <c r="F316" s="498" t="s">
        <v>1</v>
      </c>
      <c r="G316" s="498"/>
      <c r="H316" s="362" t="s">
        <v>3</v>
      </c>
      <c r="I316" s="361" t="s">
        <v>186</v>
      </c>
      <c r="J316" s="361" t="s">
        <v>187</v>
      </c>
      <c r="K316" s="361" t="s">
        <v>4</v>
      </c>
    </row>
    <row r="317" spans="2:11" ht="38.25" x14ac:dyDescent="0.25">
      <c r="B317" s="434" t="s">
        <v>7</v>
      </c>
      <c r="C317" s="363" t="s">
        <v>880</v>
      </c>
      <c r="D317" s="434" t="s">
        <v>875</v>
      </c>
      <c r="E317" s="434" t="s">
        <v>881</v>
      </c>
      <c r="F317" s="499" t="s">
        <v>137</v>
      </c>
      <c r="G317" s="499"/>
      <c r="H317" s="364" t="s">
        <v>877</v>
      </c>
      <c r="I317" s="365">
        <v>1</v>
      </c>
      <c r="J317" s="366">
        <v>31.48</v>
      </c>
      <c r="K317" s="366">
        <v>31.48</v>
      </c>
    </row>
    <row r="318" spans="2:11" ht="38.25" x14ac:dyDescent="0.25">
      <c r="B318" s="430" t="s">
        <v>189</v>
      </c>
      <c r="C318" s="367" t="s">
        <v>1084</v>
      </c>
      <c r="D318" s="430" t="s">
        <v>875</v>
      </c>
      <c r="E318" s="430" t="s">
        <v>1085</v>
      </c>
      <c r="F318" s="497" t="s">
        <v>137</v>
      </c>
      <c r="G318" s="497"/>
      <c r="H318" s="368" t="s">
        <v>1086</v>
      </c>
      <c r="I318" s="369">
        <v>0.1</v>
      </c>
      <c r="J318" s="370">
        <v>20.440000000000001</v>
      </c>
      <c r="K318" s="370">
        <v>2.04</v>
      </c>
    </row>
    <row r="319" spans="2:11" ht="38.25" x14ac:dyDescent="0.25">
      <c r="B319" s="430" t="s">
        <v>189</v>
      </c>
      <c r="C319" s="367" t="s">
        <v>1087</v>
      </c>
      <c r="D319" s="430" t="s">
        <v>875</v>
      </c>
      <c r="E319" s="430" t="s">
        <v>221</v>
      </c>
      <c r="F319" s="497" t="s">
        <v>137</v>
      </c>
      <c r="G319" s="497"/>
      <c r="H319" s="368" t="s">
        <v>1086</v>
      </c>
      <c r="I319" s="369">
        <v>6.6666699999999995E-2</v>
      </c>
      <c r="J319" s="370">
        <v>25.49</v>
      </c>
      <c r="K319" s="370">
        <v>1.69</v>
      </c>
    </row>
    <row r="320" spans="2:11" ht="38.25" x14ac:dyDescent="0.25">
      <c r="B320" s="431" t="s">
        <v>190</v>
      </c>
      <c r="C320" s="371" t="s">
        <v>1094</v>
      </c>
      <c r="D320" s="431" t="s">
        <v>875</v>
      </c>
      <c r="E320" s="431" t="s">
        <v>1095</v>
      </c>
      <c r="F320" s="500" t="s">
        <v>199</v>
      </c>
      <c r="G320" s="500"/>
      <c r="H320" s="372" t="s">
        <v>877</v>
      </c>
      <c r="I320" s="373">
        <v>1.02</v>
      </c>
      <c r="J320" s="374">
        <v>27.2</v>
      </c>
      <c r="K320" s="374">
        <v>27.74</v>
      </c>
    </row>
    <row r="321" spans="2:11" ht="25.5" x14ac:dyDescent="0.25">
      <c r="B321" s="431" t="s">
        <v>190</v>
      </c>
      <c r="C321" s="371" t="s">
        <v>1090</v>
      </c>
      <c r="D321" s="431" t="s">
        <v>875</v>
      </c>
      <c r="E321" s="431" t="s">
        <v>1091</v>
      </c>
      <c r="F321" s="500" t="s">
        <v>199</v>
      </c>
      <c r="G321" s="500"/>
      <c r="H321" s="372" t="s">
        <v>877</v>
      </c>
      <c r="I321" s="373">
        <v>4.4999999999999998E-2</v>
      </c>
      <c r="J321" s="374">
        <v>0.34</v>
      </c>
      <c r="K321" s="374">
        <v>0.01</v>
      </c>
    </row>
    <row r="322" spans="2:11" ht="15" x14ac:dyDescent="0.25">
      <c r="B322" s="432"/>
      <c r="C322" s="432"/>
      <c r="D322" s="432"/>
      <c r="E322" s="432"/>
      <c r="F322" s="432"/>
      <c r="G322" s="375"/>
      <c r="H322" s="432"/>
      <c r="I322" s="375"/>
      <c r="J322" s="375"/>
      <c r="K322"/>
    </row>
    <row r="323" spans="2:11" ht="15.75" thickBot="1" x14ac:dyDescent="0.3">
      <c r="B323" s="432"/>
      <c r="C323" s="432"/>
      <c r="D323" s="432"/>
      <c r="E323" s="432"/>
      <c r="F323" s="432"/>
      <c r="G323" s="375"/>
      <c r="H323" s="432"/>
      <c r="I323" s="432"/>
      <c r="J323" s="375"/>
      <c r="K323"/>
    </row>
    <row r="324" spans="2:11" ht="13.5" thickTop="1" x14ac:dyDescent="0.25">
      <c r="B324" s="376"/>
      <c r="C324" s="376"/>
      <c r="D324" s="376"/>
      <c r="E324" s="376"/>
      <c r="F324" s="376"/>
      <c r="G324" s="376"/>
      <c r="H324" s="376"/>
      <c r="I324" s="376"/>
      <c r="J324" s="376"/>
      <c r="K324" s="376"/>
    </row>
    <row r="325" spans="2:11" ht="15" x14ac:dyDescent="0.25">
      <c r="B325" s="433" t="s">
        <v>755</v>
      </c>
      <c r="C325" s="361" t="s">
        <v>0</v>
      </c>
      <c r="D325" s="433" t="s">
        <v>185</v>
      </c>
      <c r="E325" s="433" t="s">
        <v>83</v>
      </c>
      <c r="F325" s="498" t="s">
        <v>1</v>
      </c>
      <c r="G325" s="498"/>
      <c r="H325" s="362" t="s">
        <v>3</v>
      </c>
      <c r="I325" s="361" t="s">
        <v>186</v>
      </c>
      <c r="J325" s="361" t="s">
        <v>187</v>
      </c>
      <c r="K325" s="361" t="s">
        <v>4</v>
      </c>
    </row>
    <row r="326" spans="2:11" ht="25.5" x14ac:dyDescent="0.25">
      <c r="B326" s="434" t="s">
        <v>7</v>
      </c>
      <c r="C326" s="363" t="s">
        <v>1370</v>
      </c>
      <c r="D326" s="434" t="s">
        <v>31</v>
      </c>
      <c r="E326" s="434" t="s">
        <v>1362</v>
      </c>
      <c r="F326" s="499" t="s">
        <v>217</v>
      </c>
      <c r="G326" s="499"/>
      <c r="H326" s="364" t="s">
        <v>35</v>
      </c>
      <c r="I326" s="365">
        <v>1</v>
      </c>
      <c r="J326" s="366">
        <v>10.34</v>
      </c>
      <c r="K326" s="366">
        <v>10.34</v>
      </c>
    </row>
    <row r="327" spans="2:11" ht="38.25" x14ac:dyDescent="0.25">
      <c r="B327" s="430" t="s">
        <v>189</v>
      </c>
      <c r="C327" s="367" t="s">
        <v>218</v>
      </c>
      <c r="D327" s="430" t="s">
        <v>31</v>
      </c>
      <c r="E327" s="430" t="s">
        <v>219</v>
      </c>
      <c r="F327" s="497" t="s">
        <v>188</v>
      </c>
      <c r="G327" s="497"/>
      <c r="H327" s="368" t="s">
        <v>32</v>
      </c>
      <c r="I327" s="369">
        <v>5.1999999999999998E-2</v>
      </c>
      <c r="J327" s="370">
        <v>18.48</v>
      </c>
      <c r="K327" s="370">
        <v>0.96</v>
      </c>
    </row>
    <row r="328" spans="2:11" ht="38.25" x14ac:dyDescent="0.25">
      <c r="B328" s="430" t="s">
        <v>189</v>
      </c>
      <c r="C328" s="367" t="s">
        <v>220</v>
      </c>
      <c r="D328" s="430" t="s">
        <v>31</v>
      </c>
      <c r="E328" s="430" t="s">
        <v>221</v>
      </c>
      <c r="F328" s="497" t="s">
        <v>188</v>
      </c>
      <c r="G328" s="497"/>
      <c r="H328" s="368" t="s">
        <v>32</v>
      </c>
      <c r="I328" s="369">
        <v>5.1999999999999998E-2</v>
      </c>
      <c r="J328" s="370">
        <v>22.58</v>
      </c>
      <c r="K328" s="370">
        <v>1.17</v>
      </c>
    </row>
    <row r="329" spans="2:11" ht="38.25" x14ac:dyDescent="0.25">
      <c r="B329" s="431" t="s">
        <v>190</v>
      </c>
      <c r="C329" s="371" t="s">
        <v>1371</v>
      </c>
      <c r="D329" s="431" t="s">
        <v>31</v>
      </c>
      <c r="E329" s="431" t="s">
        <v>1372</v>
      </c>
      <c r="F329" s="500" t="s">
        <v>199</v>
      </c>
      <c r="G329" s="500"/>
      <c r="H329" s="372" t="s">
        <v>35</v>
      </c>
      <c r="I329" s="373">
        <v>1.19</v>
      </c>
      <c r="J329" s="374">
        <v>6.87</v>
      </c>
      <c r="K329" s="374">
        <v>8.17</v>
      </c>
    </row>
    <row r="330" spans="2:11" ht="38.25" x14ac:dyDescent="0.25">
      <c r="B330" s="431" t="s">
        <v>190</v>
      </c>
      <c r="C330" s="371" t="s">
        <v>1373</v>
      </c>
      <c r="D330" s="431" t="s">
        <v>31</v>
      </c>
      <c r="E330" s="431" t="s">
        <v>1374</v>
      </c>
      <c r="F330" s="500" t="s">
        <v>199</v>
      </c>
      <c r="G330" s="500"/>
      <c r="H330" s="372" t="s">
        <v>22</v>
      </c>
      <c r="I330" s="373">
        <v>8.9999999999999993E-3</v>
      </c>
      <c r="J330" s="374">
        <v>4.7300000000000004</v>
      </c>
      <c r="K330" s="374">
        <v>0.04</v>
      </c>
    </row>
    <row r="331" spans="2:11" ht="15" x14ac:dyDescent="0.25">
      <c r="B331" s="432"/>
      <c r="C331" s="432"/>
      <c r="D331" s="432"/>
      <c r="E331" s="432"/>
      <c r="F331" s="432"/>
      <c r="G331" s="375"/>
      <c r="H331" s="432"/>
      <c r="I331" s="375"/>
      <c r="J331" s="375"/>
      <c r="K331"/>
    </row>
    <row r="332" spans="2:11" ht="15.75" thickBot="1" x14ac:dyDescent="0.3">
      <c r="B332" s="432"/>
      <c r="C332" s="432"/>
      <c r="D332" s="432"/>
      <c r="E332" s="432"/>
      <c r="F332" s="432"/>
      <c r="G332" s="375"/>
      <c r="H332" s="432"/>
      <c r="I332" s="432"/>
      <c r="J332" s="375"/>
      <c r="K332"/>
    </row>
    <row r="333" spans="2:11" ht="13.5" thickTop="1" x14ac:dyDescent="0.25">
      <c r="B333" s="376"/>
      <c r="C333" s="376"/>
      <c r="D333" s="376"/>
      <c r="E333" s="376"/>
      <c r="F333" s="376"/>
      <c r="G333" s="376"/>
      <c r="H333" s="376"/>
      <c r="I333" s="376"/>
      <c r="J333" s="376"/>
      <c r="K333" s="376"/>
    </row>
    <row r="334" spans="2:11" ht="15" x14ac:dyDescent="0.25">
      <c r="B334" s="433" t="s">
        <v>756</v>
      </c>
      <c r="C334" s="361" t="s">
        <v>0</v>
      </c>
      <c r="D334" s="433" t="s">
        <v>185</v>
      </c>
      <c r="E334" s="433" t="s">
        <v>83</v>
      </c>
      <c r="F334" s="498" t="s">
        <v>1</v>
      </c>
      <c r="G334" s="498"/>
      <c r="H334" s="362" t="s">
        <v>3</v>
      </c>
      <c r="I334" s="361" t="s">
        <v>186</v>
      </c>
      <c r="J334" s="361" t="s">
        <v>187</v>
      </c>
      <c r="K334" s="361" t="s">
        <v>4</v>
      </c>
    </row>
    <row r="335" spans="2:11" ht="38.25" x14ac:dyDescent="0.25">
      <c r="B335" s="434" t="s">
        <v>7</v>
      </c>
      <c r="C335" s="363" t="s">
        <v>883</v>
      </c>
      <c r="D335" s="434" t="s">
        <v>875</v>
      </c>
      <c r="E335" s="434" t="s">
        <v>884</v>
      </c>
      <c r="F335" s="499" t="s">
        <v>137</v>
      </c>
      <c r="G335" s="499"/>
      <c r="H335" s="364" t="s">
        <v>877</v>
      </c>
      <c r="I335" s="365">
        <v>1</v>
      </c>
      <c r="J335" s="366">
        <v>4.58</v>
      </c>
      <c r="K335" s="366">
        <v>4.58</v>
      </c>
    </row>
    <row r="336" spans="2:11" ht="38.25" x14ac:dyDescent="0.25">
      <c r="B336" s="430" t="s">
        <v>189</v>
      </c>
      <c r="C336" s="367" t="s">
        <v>1084</v>
      </c>
      <c r="D336" s="430" t="s">
        <v>875</v>
      </c>
      <c r="E336" s="430" t="s">
        <v>1085</v>
      </c>
      <c r="F336" s="497" t="s">
        <v>137</v>
      </c>
      <c r="G336" s="497"/>
      <c r="H336" s="368" t="s">
        <v>1086</v>
      </c>
      <c r="I336" s="369">
        <v>3.4920600000000003E-2</v>
      </c>
      <c r="J336" s="370">
        <v>20.440000000000001</v>
      </c>
      <c r="K336" s="370">
        <v>0.71</v>
      </c>
    </row>
    <row r="337" spans="2:11" ht="38.25" x14ac:dyDescent="0.25">
      <c r="B337" s="430" t="s">
        <v>189</v>
      </c>
      <c r="C337" s="367" t="s">
        <v>1087</v>
      </c>
      <c r="D337" s="430" t="s">
        <v>875</v>
      </c>
      <c r="E337" s="430" t="s">
        <v>221</v>
      </c>
      <c r="F337" s="497" t="s">
        <v>137</v>
      </c>
      <c r="G337" s="497"/>
      <c r="H337" s="368" t="s">
        <v>1086</v>
      </c>
      <c r="I337" s="369">
        <v>3.4920600000000003E-2</v>
      </c>
      <c r="J337" s="370">
        <v>25.49</v>
      </c>
      <c r="K337" s="370">
        <v>0.89</v>
      </c>
    </row>
    <row r="338" spans="2:11" ht="38.25" x14ac:dyDescent="0.25">
      <c r="B338" s="431" t="s">
        <v>190</v>
      </c>
      <c r="C338" s="371" t="s">
        <v>1096</v>
      </c>
      <c r="D338" s="431" t="s">
        <v>875</v>
      </c>
      <c r="E338" s="431" t="s">
        <v>1097</v>
      </c>
      <c r="F338" s="500" t="s">
        <v>199</v>
      </c>
      <c r="G338" s="500"/>
      <c r="H338" s="372" t="s">
        <v>877</v>
      </c>
      <c r="I338" s="373">
        <v>1.02</v>
      </c>
      <c r="J338" s="374">
        <v>2.92</v>
      </c>
      <c r="K338" s="374">
        <v>2.97</v>
      </c>
    </row>
    <row r="339" spans="2:11" ht="25.5" x14ac:dyDescent="0.25">
      <c r="B339" s="431" t="s">
        <v>190</v>
      </c>
      <c r="C339" s="371" t="s">
        <v>1090</v>
      </c>
      <c r="D339" s="431" t="s">
        <v>875</v>
      </c>
      <c r="E339" s="431" t="s">
        <v>1091</v>
      </c>
      <c r="F339" s="500" t="s">
        <v>199</v>
      </c>
      <c r="G339" s="500"/>
      <c r="H339" s="372" t="s">
        <v>877</v>
      </c>
      <c r="I339" s="373">
        <v>4.4999999999999998E-2</v>
      </c>
      <c r="J339" s="374">
        <v>0.34</v>
      </c>
      <c r="K339" s="374">
        <v>0.01</v>
      </c>
    </row>
    <row r="340" spans="2:11" ht="15" x14ac:dyDescent="0.25">
      <c r="B340" s="432"/>
      <c r="C340" s="432"/>
      <c r="D340" s="432"/>
      <c r="E340" s="432"/>
      <c r="F340" s="432"/>
      <c r="G340" s="375"/>
      <c r="H340" s="432"/>
      <c r="I340" s="375"/>
      <c r="J340" s="375"/>
      <c r="K340"/>
    </row>
    <row r="341" spans="2:11" ht="15.75" thickBot="1" x14ac:dyDescent="0.3">
      <c r="B341" s="432"/>
      <c r="C341" s="432"/>
      <c r="D341" s="432"/>
      <c r="E341" s="432"/>
      <c r="F341" s="432"/>
      <c r="G341" s="375"/>
      <c r="H341" s="432"/>
      <c r="I341" s="432"/>
      <c r="J341" s="375"/>
      <c r="K341"/>
    </row>
    <row r="342" spans="2:11" ht="13.5" thickTop="1" x14ac:dyDescent="0.25">
      <c r="B342" s="376"/>
      <c r="C342" s="376"/>
      <c r="D342" s="376"/>
      <c r="E342" s="376"/>
      <c r="F342" s="376"/>
      <c r="G342" s="376"/>
      <c r="H342" s="376"/>
      <c r="I342" s="376"/>
      <c r="J342" s="376"/>
      <c r="K342" s="376"/>
    </row>
    <row r="343" spans="2:11" ht="15" x14ac:dyDescent="0.25">
      <c r="B343" s="433" t="s">
        <v>1579</v>
      </c>
      <c r="C343" s="361" t="s">
        <v>0</v>
      </c>
      <c r="D343" s="433" t="s">
        <v>185</v>
      </c>
      <c r="E343" s="433" t="s">
        <v>83</v>
      </c>
      <c r="F343" s="498" t="s">
        <v>1</v>
      </c>
      <c r="G343" s="498"/>
      <c r="H343" s="362" t="s">
        <v>3</v>
      </c>
      <c r="I343" s="361" t="s">
        <v>186</v>
      </c>
      <c r="J343" s="361" t="s">
        <v>187</v>
      </c>
      <c r="K343" s="361" t="s">
        <v>4</v>
      </c>
    </row>
    <row r="344" spans="2:11" ht="38.25" x14ac:dyDescent="0.25">
      <c r="B344" s="434" t="s">
        <v>7</v>
      </c>
      <c r="C344" s="363" t="s">
        <v>885</v>
      </c>
      <c r="D344" s="434" t="s">
        <v>875</v>
      </c>
      <c r="E344" s="434" t="s">
        <v>886</v>
      </c>
      <c r="F344" s="499" t="s">
        <v>137</v>
      </c>
      <c r="G344" s="499"/>
      <c r="H344" s="364" t="s">
        <v>877</v>
      </c>
      <c r="I344" s="365">
        <v>1</v>
      </c>
      <c r="J344" s="366">
        <v>6.35</v>
      </c>
      <c r="K344" s="366">
        <v>6.35</v>
      </c>
    </row>
    <row r="345" spans="2:11" ht="38.25" x14ac:dyDescent="0.25">
      <c r="B345" s="430" t="s">
        <v>189</v>
      </c>
      <c r="C345" s="367" t="s">
        <v>1084</v>
      </c>
      <c r="D345" s="430" t="s">
        <v>875</v>
      </c>
      <c r="E345" s="430" t="s">
        <v>1085</v>
      </c>
      <c r="F345" s="497" t="s">
        <v>137</v>
      </c>
      <c r="G345" s="497"/>
      <c r="H345" s="368" t="s">
        <v>1086</v>
      </c>
      <c r="I345" s="369">
        <v>4.0740699999999998E-2</v>
      </c>
      <c r="J345" s="370">
        <v>20.440000000000001</v>
      </c>
      <c r="K345" s="370">
        <v>0.83</v>
      </c>
    </row>
    <row r="346" spans="2:11" ht="38.25" x14ac:dyDescent="0.25">
      <c r="B346" s="430" t="s">
        <v>189</v>
      </c>
      <c r="C346" s="367" t="s">
        <v>1087</v>
      </c>
      <c r="D346" s="430" t="s">
        <v>875</v>
      </c>
      <c r="E346" s="430" t="s">
        <v>221</v>
      </c>
      <c r="F346" s="497" t="s">
        <v>137</v>
      </c>
      <c r="G346" s="497"/>
      <c r="H346" s="368" t="s">
        <v>1086</v>
      </c>
      <c r="I346" s="369">
        <v>4.0740699999999998E-2</v>
      </c>
      <c r="J346" s="370">
        <v>25.49</v>
      </c>
      <c r="K346" s="370">
        <v>1.03</v>
      </c>
    </row>
    <row r="347" spans="2:11" ht="38.25" x14ac:dyDescent="0.25">
      <c r="B347" s="431" t="s">
        <v>190</v>
      </c>
      <c r="C347" s="371" t="s">
        <v>1098</v>
      </c>
      <c r="D347" s="431" t="s">
        <v>875</v>
      </c>
      <c r="E347" s="431" t="s">
        <v>1099</v>
      </c>
      <c r="F347" s="500" t="s">
        <v>199</v>
      </c>
      <c r="G347" s="500"/>
      <c r="H347" s="372" t="s">
        <v>877</v>
      </c>
      <c r="I347" s="373">
        <v>1.02</v>
      </c>
      <c r="J347" s="374">
        <v>4.4000000000000004</v>
      </c>
      <c r="K347" s="374">
        <v>4.4800000000000004</v>
      </c>
    </row>
    <row r="348" spans="2:11" ht="25.5" x14ac:dyDescent="0.25">
      <c r="B348" s="431" t="s">
        <v>190</v>
      </c>
      <c r="C348" s="371" t="s">
        <v>1090</v>
      </c>
      <c r="D348" s="431" t="s">
        <v>875</v>
      </c>
      <c r="E348" s="431" t="s">
        <v>1091</v>
      </c>
      <c r="F348" s="500" t="s">
        <v>199</v>
      </c>
      <c r="G348" s="500"/>
      <c r="H348" s="372" t="s">
        <v>877</v>
      </c>
      <c r="I348" s="373">
        <v>4.4999999999999998E-2</v>
      </c>
      <c r="J348" s="374">
        <v>0.34</v>
      </c>
      <c r="K348" s="374">
        <v>0.01</v>
      </c>
    </row>
    <row r="349" spans="2:11" ht="15" x14ac:dyDescent="0.25">
      <c r="B349" s="432"/>
      <c r="C349" s="432"/>
      <c r="D349" s="432"/>
      <c r="E349" s="432"/>
      <c r="F349" s="432"/>
      <c r="G349" s="375"/>
      <c r="H349" s="432"/>
      <c r="I349" s="375"/>
      <c r="J349" s="375"/>
      <c r="K349"/>
    </row>
    <row r="350" spans="2:11" ht="15.75" thickBot="1" x14ac:dyDescent="0.3">
      <c r="B350" s="432"/>
      <c r="C350" s="432"/>
      <c r="D350" s="432"/>
      <c r="E350" s="432"/>
      <c r="F350" s="432"/>
      <c r="G350" s="375"/>
      <c r="H350" s="432"/>
      <c r="I350" s="432"/>
      <c r="J350" s="375"/>
      <c r="K350"/>
    </row>
    <row r="351" spans="2:11" ht="13.5" thickTop="1" x14ac:dyDescent="0.25">
      <c r="B351" s="376"/>
      <c r="C351" s="376"/>
      <c r="D351" s="376"/>
      <c r="E351" s="376"/>
      <c r="F351" s="376"/>
      <c r="G351" s="376"/>
      <c r="H351" s="376"/>
      <c r="I351" s="376"/>
      <c r="J351" s="376"/>
      <c r="K351" s="376"/>
    </row>
    <row r="352" spans="2:11" ht="15" x14ac:dyDescent="0.25">
      <c r="B352" s="433" t="s">
        <v>134</v>
      </c>
      <c r="C352" s="361" t="s">
        <v>0</v>
      </c>
      <c r="D352" s="433" t="s">
        <v>185</v>
      </c>
      <c r="E352" s="433" t="s">
        <v>83</v>
      </c>
      <c r="F352" s="498" t="s">
        <v>1</v>
      </c>
      <c r="G352" s="498"/>
      <c r="H352" s="362" t="s">
        <v>3</v>
      </c>
      <c r="I352" s="361" t="s">
        <v>186</v>
      </c>
      <c r="J352" s="361" t="s">
        <v>187</v>
      </c>
      <c r="K352" s="361" t="s">
        <v>4</v>
      </c>
    </row>
    <row r="353" spans="2:11" ht="25.5" x14ac:dyDescent="0.25">
      <c r="B353" s="434" t="s">
        <v>7</v>
      </c>
      <c r="C353" s="363" t="s">
        <v>888</v>
      </c>
      <c r="D353" s="434" t="s">
        <v>214</v>
      </c>
      <c r="E353" s="434" t="s">
        <v>889</v>
      </c>
      <c r="F353" s="499" t="s">
        <v>1306</v>
      </c>
      <c r="G353" s="499"/>
      <c r="H353" s="364" t="s">
        <v>22</v>
      </c>
      <c r="I353" s="365">
        <v>1</v>
      </c>
      <c r="J353" s="366">
        <v>347.52</v>
      </c>
      <c r="K353" s="366">
        <v>347.52</v>
      </c>
    </row>
    <row r="354" spans="2:11" ht="38.25" x14ac:dyDescent="0.25">
      <c r="B354" s="430" t="s">
        <v>189</v>
      </c>
      <c r="C354" s="367" t="s">
        <v>202</v>
      </c>
      <c r="D354" s="430" t="s">
        <v>31</v>
      </c>
      <c r="E354" s="430" t="s">
        <v>48</v>
      </c>
      <c r="F354" s="497" t="s">
        <v>188</v>
      </c>
      <c r="G354" s="497"/>
      <c r="H354" s="368" t="s">
        <v>32</v>
      </c>
      <c r="I354" s="369">
        <v>3.9180000000000001</v>
      </c>
      <c r="J354" s="370">
        <v>17.43</v>
      </c>
      <c r="K354" s="370">
        <v>68.290000000000006</v>
      </c>
    </row>
    <row r="355" spans="2:11" ht="38.25" x14ac:dyDescent="0.25">
      <c r="B355" s="430" t="s">
        <v>189</v>
      </c>
      <c r="C355" s="367" t="s">
        <v>208</v>
      </c>
      <c r="D355" s="430" t="s">
        <v>31</v>
      </c>
      <c r="E355" s="430" t="s">
        <v>49</v>
      </c>
      <c r="F355" s="497" t="s">
        <v>188</v>
      </c>
      <c r="G355" s="497"/>
      <c r="H355" s="368" t="s">
        <v>32</v>
      </c>
      <c r="I355" s="369">
        <v>3.2989999999999999</v>
      </c>
      <c r="J355" s="370">
        <v>22.35</v>
      </c>
      <c r="K355" s="370">
        <v>73.73</v>
      </c>
    </row>
    <row r="356" spans="2:11" ht="25.5" x14ac:dyDescent="0.25">
      <c r="B356" s="431" t="s">
        <v>190</v>
      </c>
      <c r="C356" s="371" t="s">
        <v>1100</v>
      </c>
      <c r="D356" s="431" t="s">
        <v>214</v>
      </c>
      <c r="E356" s="431" t="s">
        <v>1101</v>
      </c>
      <c r="F356" s="500" t="s">
        <v>199</v>
      </c>
      <c r="G356" s="500"/>
      <c r="H356" s="372" t="s">
        <v>34</v>
      </c>
      <c r="I356" s="373">
        <v>20.48</v>
      </c>
      <c r="J356" s="374">
        <v>0.49</v>
      </c>
      <c r="K356" s="374">
        <v>10.029999999999999</v>
      </c>
    </row>
    <row r="357" spans="2:11" x14ac:dyDescent="0.25">
      <c r="B357" s="431" t="s">
        <v>190</v>
      </c>
      <c r="C357" s="371" t="s">
        <v>1102</v>
      </c>
      <c r="D357" s="431" t="s">
        <v>214</v>
      </c>
      <c r="E357" s="431" t="s">
        <v>1103</v>
      </c>
      <c r="F357" s="500" t="s">
        <v>199</v>
      </c>
      <c r="G357" s="500"/>
      <c r="H357" s="372" t="s">
        <v>34</v>
      </c>
      <c r="I357" s="373">
        <v>15.3</v>
      </c>
      <c r="J357" s="374">
        <v>0.64</v>
      </c>
      <c r="K357" s="374">
        <v>9.7899999999999991</v>
      </c>
    </row>
    <row r="358" spans="2:11" x14ac:dyDescent="0.25">
      <c r="B358" s="431" t="s">
        <v>190</v>
      </c>
      <c r="C358" s="371" t="s">
        <v>1104</v>
      </c>
      <c r="D358" s="431" t="s">
        <v>214</v>
      </c>
      <c r="E358" s="431" t="s">
        <v>1105</v>
      </c>
      <c r="F358" s="500" t="s">
        <v>199</v>
      </c>
      <c r="G358" s="500"/>
      <c r="H358" s="372" t="s">
        <v>22</v>
      </c>
      <c r="I358" s="373">
        <v>88</v>
      </c>
      <c r="J358" s="374">
        <v>2.11</v>
      </c>
      <c r="K358" s="374">
        <v>185.68</v>
      </c>
    </row>
    <row r="359" spans="2:11" ht="15" x14ac:dyDescent="0.25">
      <c r="B359" s="432"/>
      <c r="C359" s="432"/>
      <c r="D359" s="432"/>
      <c r="E359" s="432"/>
      <c r="F359" s="432"/>
      <c r="G359" s="375"/>
      <c r="H359" s="432"/>
      <c r="I359" s="375"/>
      <c r="J359" s="375"/>
      <c r="K359"/>
    </row>
    <row r="360" spans="2:11" ht="15.75" thickBot="1" x14ac:dyDescent="0.3">
      <c r="B360" s="432"/>
      <c r="C360" s="432"/>
      <c r="D360" s="432"/>
      <c r="E360" s="432"/>
      <c r="F360" s="432"/>
      <c r="G360" s="375"/>
      <c r="H360" s="432"/>
      <c r="I360" s="432"/>
      <c r="J360" s="375"/>
      <c r="K360"/>
    </row>
    <row r="361" spans="2:11" ht="13.5" thickTop="1" x14ac:dyDescent="0.25">
      <c r="B361" s="376"/>
      <c r="C361" s="376"/>
      <c r="D361" s="376"/>
      <c r="E361" s="376"/>
      <c r="F361" s="376"/>
      <c r="G361" s="376"/>
      <c r="H361" s="376"/>
      <c r="I361" s="376"/>
      <c r="J361" s="376"/>
      <c r="K361" s="376"/>
    </row>
    <row r="362" spans="2:11" ht="15" x14ac:dyDescent="0.25">
      <c r="B362" s="433" t="s">
        <v>258</v>
      </c>
      <c r="C362" s="361" t="s">
        <v>0</v>
      </c>
      <c r="D362" s="433" t="s">
        <v>185</v>
      </c>
      <c r="E362" s="433" t="s">
        <v>83</v>
      </c>
      <c r="F362" s="498" t="s">
        <v>1</v>
      </c>
      <c r="G362" s="498"/>
      <c r="H362" s="362" t="s">
        <v>3</v>
      </c>
      <c r="I362" s="361" t="s">
        <v>186</v>
      </c>
      <c r="J362" s="361" t="s">
        <v>187</v>
      </c>
      <c r="K362" s="361" t="s">
        <v>4</v>
      </c>
    </row>
    <row r="363" spans="2:11" ht="25.5" x14ac:dyDescent="0.25">
      <c r="B363" s="434" t="s">
        <v>7</v>
      </c>
      <c r="C363" s="363" t="s">
        <v>890</v>
      </c>
      <c r="D363" s="434" t="s">
        <v>214</v>
      </c>
      <c r="E363" s="434" t="s">
        <v>891</v>
      </c>
      <c r="F363" s="499" t="s">
        <v>1307</v>
      </c>
      <c r="G363" s="499"/>
      <c r="H363" s="364" t="s">
        <v>22</v>
      </c>
      <c r="I363" s="365">
        <v>1</v>
      </c>
      <c r="J363" s="366">
        <v>63.92</v>
      </c>
      <c r="K363" s="366">
        <v>63.92</v>
      </c>
    </row>
    <row r="364" spans="2:11" ht="38.25" x14ac:dyDescent="0.25">
      <c r="B364" s="430" t="s">
        <v>189</v>
      </c>
      <c r="C364" s="367" t="s">
        <v>220</v>
      </c>
      <c r="D364" s="430" t="s">
        <v>31</v>
      </c>
      <c r="E364" s="430" t="s">
        <v>221</v>
      </c>
      <c r="F364" s="497" t="s">
        <v>188</v>
      </c>
      <c r="G364" s="497"/>
      <c r="H364" s="368" t="s">
        <v>32</v>
      </c>
      <c r="I364" s="369">
        <v>0.23499999999999999</v>
      </c>
      <c r="J364" s="370">
        <v>22.58</v>
      </c>
      <c r="K364" s="370">
        <v>5.3</v>
      </c>
    </row>
    <row r="365" spans="2:11" ht="38.25" x14ac:dyDescent="0.25">
      <c r="B365" s="430" t="s">
        <v>189</v>
      </c>
      <c r="C365" s="367" t="s">
        <v>218</v>
      </c>
      <c r="D365" s="430" t="s">
        <v>31</v>
      </c>
      <c r="E365" s="430" t="s">
        <v>219</v>
      </c>
      <c r="F365" s="497" t="s">
        <v>188</v>
      </c>
      <c r="G365" s="497"/>
      <c r="H365" s="368" t="s">
        <v>32</v>
      </c>
      <c r="I365" s="369">
        <v>0.23499999999999999</v>
      </c>
      <c r="J365" s="370">
        <v>18.48</v>
      </c>
      <c r="K365" s="370">
        <v>4.34</v>
      </c>
    </row>
    <row r="366" spans="2:11" x14ac:dyDescent="0.25">
      <c r="B366" s="431" t="s">
        <v>190</v>
      </c>
      <c r="C366" s="371" t="s">
        <v>1106</v>
      </c>
      <c r="D366" s="431" t="s">
        <v>214</v>
      </c>
      <c r="E366" s="431" t="s">
        <v>1107</v>
      </c>
      <c r="F366" s="500" t="s">
        <v>199</v>
      </c>
      <c r="G366" s="500"/>
      <c r="H366" s="372" t="s">
        <v>22</v>
      </c>
      <c r="I366" s="373">
        <v>1</v>
      </c>
      <c r="J366" s="374">
        <v>54.28</v>
      </c>
      <c r="K366" s="374">
        <v>54.28</v>
      </c>
    </row>
    <row r="367" spans="2:11" ht="15" x14ac:dyDescent="0.25">
      <c r="B367" s="432"/>
      <c r="C367" s="432"/>
      <c r="D367" s="432"/>
      <c r="E367" s="432"/>
      <c r="F367" s="432"/>
      <c r="G367" s="375"/>
      <c r="H367" s="432"/>
      <c r="I367" s="375"/>
      <c r="J367" s="375"/>
      <c r="K367"/>
    </row>
    <row r="368" spans="2:11" ht="15.75" thickBot="1" x14ac:dyDescent="0.3">
      <c r="B368" s="432"/>
      <c r="C368" s="432"/>
      <c r="D368" s="432"/>
      <c r="E368" s="432"/>
      <c r="F368" s="432"/>
      <c r="G368" s="375"/>
      <c r="H368" s="432"/>
      <c r="I368" s="432"/>
      <c r="J368" s="375"/>
      <c r="K368"/>
    </row>
    <row r="369" spans="2:11" ht="13.5" thickTop="1" x14ac:dyDescent="0.25">
      <c r="B369" s="376"/>
      <c r="C369" s="376"/>
      <c r="D369" s="376"/>
      <c r="E369" s="376"/>
      <c r="F369" s="376"/>
      <c r="G369" s="376"/>
      <c r="H369" s="376"/>
      <c r="I369" s="376"/>
      <c r="J369" s="376"/>
      <c r="K369" s="376"/>
    </row>
    <row r="370" spans="2:11" ht="15" x14ac:dyDescent="0.25">
      <c r="B370" s="433" t="s">
        <v>411</v>
      </c>
      <c r="C370" s="361" t="s">
        <v>0</v>
      </c>
      <c r="D370" s="433" t="s">
        <v>185</v>
      </c>
      <c r="E370" s="433" t="s">
        <v>83</v>
      </c>
      <c r="F370" s="498" t="s">
        <v>1</v>
      </c>
      <c r="G370" s="498"/>
      <c r="H370" s="362" t="s">
        <v>3</v>
      </c>
      <c r="I370" s="361" t="s">
        <v>186</v>
      </c>
      <c r="J370" s="361" t="s">
        <v>187</v>
      </c>
      <c r="K370" s="361" t="s">
        <v>4</v>
      </c>
    </row>
    <row r="371" spans="2:11" ht="25.5" x14ac:dyDescent="0.25">
      <c r="B371" s="434" t="s">
        <v>7</v>
      </c>
      <c r="C371" s="363" t="s">
        <v>892</v>
      </c>
      <c r="D371" s="434" t="s">
        <v>125</v>
      </c>
      <c r="E371" s="434" t="s">
        <v>1391</v>
      </c>
      <c r="F371" s="499">
        <v>59</v>
      </c>
      <c r="G371" s="499"/>
      <c r="H371" s="364" t="s">
        <v>35</v>
      </c>
      <c r="I371" s="365">
        <v>1</v>
      </c>
      <c r="J371" s="366">
        <v>339.33</v>
      </c>
      <c r="K371" s="366">
        <v>339.33</v>
      </c>
    </row>
    <row r="372" spans="2:11" ht="38.25" x14ac:dyDescent="0.25">
      <c r="B372" s="430" t="s">
        <v>189</v>
      </c>
      <c r="C372" s="367" t="s">
        <v>220</v>
      </c>
      <c r="D372" s="430" t="s">
        <v>31</v>
      </c>
      <c r="E372" s="430" t="s">
        <v>221</v>
      </c>
      <c r="F372" s="497" t="s">
        <v>188</v>
      </c>
      <c r="G372" s="497"/>
      <c r="H372" s="368" t="s">
        <v>32</v>
      </c>
      <c r="I372" s="369">
        <v>0.49</v>
      </c>
      <c r="J372" s="370">
        <v>22.58</v>
      </c>
      <c r="K372" s="370">
        <v>11.06</v>
      </c>
    </row>
    <row r="373" spans="2:11" ht="38.25" x14ac:dyDescent="0.25">
      <c r="B373" s="430" t="s">
        <v>189</v>
      </c>
      <c r="C373" s="367" t="s">
        <v>218</v>
      </c>
      <c r="D373" s="430" t="s">
        <v>31</v>
      </c>
      <c r="E373" s="430" t="s">
        <v>219</v>
      </c>
      <c r="F373" s="497" t="s">
        <v>188</v>
      </c>
      <c r="G373" s="497"/>
      <c r="H373" s="368" t="s">
        <v>32</v>
      </c>
      <c r="I373" s="369">
        <v>0.49</v>
      </c>
      <c r="J373" s="370">
        <v>18.48</v>
      </c>
      <c r="K373" s="370">
        <v>9.0500000000000007</v>
      </c>
    </row>
    <row r="374" spans="2:11" x14ac:dyDescent="0.25">
      <c r="B374" s="431" t="s">
        <v>190</v>
      </c>
      <c r="C374" s="371" t="s">
        <v>1108</v>
      </c>
      <c r="D374" s="431" t="s">
        <v>214</v>
      </c>
      <c r="E374" s="431" t="s">
        <v>1678</v>
      </c>
      <c r="F374" s="500" t="s">
        <v>199</v>
      </c>
      <c r="G374" s="500"/>
      <c r="H374" s="372" t="s">
        <v>35</v>
      </c>
      <c r="I374" s="373">
        <v>1.3</v>
      </c>
      <c r="J374" s="374">
        <v>245.56</v>
      </c>
      <c r="K374" s="374">
        <v>319.22000000000003</v>
      </c>
    </row>
    <row r="375" spans="2:11" ht="15" x14ac:dyDescent="0.25">
      <c r="B375" s="432"/>
      <c r="C375" s="432"/>
      <c r="D375" s="432"/>
      <c r="E375" s="432"/>
      <c r="F375" s="432"/>
      <c r="G375" s="375"/>
      <c r="H375" s="432"/>
      <c r="I375" s="375"/>
      <c r="J375" s="375"/>
      <c r="K375"/>
    </row>
    <row r="376" spans="2:11" ht="15.75" thickBot="1" x14ac:dyDescent="0.3">
      <c r="B376" s="432"/>
      <c r="C376" s="432"/>
      <c r="D376" s="432"/>
      <c r="E376" s="432"/>
      <c r="F376" s="432"/>
      <c r="G376" s="375"/>
      <c r="H376" s="432"/>
      <c r="I376" s="432"/>
      <c r="J376" s="375"/>
      <c r="K376"/>
    </row>
    <row r="377" spans="2:11" ht="13.5" thickTop="1" x14ac:dyDescent="0.25">
      <c r="B377" s="376"/>
      <c r="C377" s="376"/>
      <c r="D377" s="376"/>
      <c r="E377" s="376"/>
      <c r="F377" s="376"/>
      <c r="G377" s="376"/>
      <c r="H377" s="376"/>
      <c r="I377" s="376"/>
      <c r="J377" s="376"/>
      <c r="K377" s="376"/>
    </row>
    <row r="378" spans="2:11" ht="15" x14ac:dyDescent="0.25">
      <c r="B378" s="433" t="s">
        <v>1580</v>
      </c>
      <c r="C378" s="361" t="s">
        <v>0</v>
      </c>
      <c r="D378" s="433" t="s">
        <v>185</v>
      </c>
      <c r="E378" s="433" t="s">
        <v>83</v>
      </c>
      <c r="F378" s="498" t="s">
        <v>1</v>
      </c>
      <c r="G378" s="498"/>
      <c r="H378" s="362" t="s">
        <v>3</v>
      </c>
      <c r="I378" s="361" t="s">
        <v>186</v>
      </c>
      <c r="J378" s="361" t="s">
        <v>187</v>
      </c>
      <c r="K378" s="361" t="s">
        <v>4</v>
      </c>
    </row>
    <row r="379" spans="2:11" ht="25.5" x14ac:dyDescent="0.25">
      <c r="B379" s="434" t="s">
        <v>7</v>
      </c>
      <c r="C379" s="363" t="s">
        <v>1508</v>
      </c>
      <c r="D379" s="434" t="s">
        <v>214</v>
      </c>
      <c r="E379" s="434" t="s">
        <v>1509</v>
      </c>
      <c r="F379" s="499" t="s">
        <v>1581</v>
      </c>
      <c r="G379" s="499"/>
      <c r="H379" s="364" t="s">
        <v>2</v>
      </c>
      <c r="I379" s="365">
        <v>1</v>
      </c>
      <c r="J379" s="366">
        <v>149.02000000000001</v>
      </c>
      <c r="K379" s="366">
        <v>149.02000000000001</v>
      </c>
    </row>
    <row r="380" spans="2:11" ht="38.25" x14ac:dyDescent="0.25">
      <c r="B380" s="430" t="s">
        <v>189</v>
      </c>
      <c r="C380" s="367" t="s">
        <v>222</v>
      </c>
      <c r="D380" s="430" t="s">
        <v>31</v>
      </c>
      <c r="E380" s="430" t="s">
        <v>223</v>
      </c>
      <c r="F380" s="497" t="s">
        <v>188</v>
      </c>
      <c r="G380" s="497"/>
      <c r="H380" s="368" t="s">
        <v>32</v>
      </c>
      <c r="I380" s="369">
        <v>3.423</v>
      </c>
      <c r="J380" s="370">
        <v>18.12</v>
      </c>
      <c r="K380" s="370">
        <v>62.02</v>
      </c>
    </row>
    <row r="381" spans="2:11" ht="38.25" x14ac:dyDescent="0.25">
      <c r="B381" s="430" t="s">
        <v>189</v>
      </c>
      <c r="C381" s="367" t="s">
        <v>1582</v>
      </c>
      <c r="D381" s="430" t="s">
        <v>31</v>
      </c>
      <c r="E381" s="430" t="s">
        <v>1583</v>
      </c>
      <c r="F381" s="497" t="s">
        <v>188</v>
      </c>
      <c r="G381" s="497"/>
      <c r="H381" s="368" t="s">
        <v>32</v>
      </c>
      <c r="I381" s="369">
        <v>0.74199999999999999</v>
      </c>
      <c r="J381" s="370">
        <v>20.48</v>
      </c>
      <c r="K381" s="370">
        <v>15.19</v>
      </c>
    </row>
    <row r="382" spans="2:11" x14ac:dyDescent="0.25">
      <c r="B382" s="431" t="s">
        <v>190</v>
      </c>
      <c r="C382" s="371" t="s">
        <v>1381</v>
      </c>
      <c r="D382" s="431" t="s">
        <v>214</v>
      </c>
      <c r="E382" s="431" t="s">
        <v>1382</v>
      </c>
      <c r="F382" s="500" t="s">
        <v>199</v>
      </c>
      <c r="G382" s="500"/>
      <c r="H382" s="372" t="s">
        <v>8</v>
      </c>
      <c r="I382" s="373">
        <v>0.108</v>
      </c>
      <c r="J382" s="374">
        <v>65.84</v>
      </c>
      <c r="K382" s="374">
        <v>7.11</v>
      </c>
    </row>
    <row r="383" spans="2:11" x14ac:dyDescent="0.25">
      <c r="B383" s="431" t="s">
        <v>190</v>
      </c>
      <c r="C383" s="371" t="s">
        <v>1383</v>
      </c>
      <c r="D383" s="431" t="s">
        <v>214</v>
      </c>
      <c r="E383" s="431" t="s">
        <v>1384</v>
      </c>
      <c r="F383" s="500" t="s">
        <v>199</v>
      </c>
      <c r="G383" s="500"/>
      <c r="H383" s="372" t="s">
        <v>34</v>
      </c>
      <c r="I383" s="373">
        <v>59.55</v>
      </c>
      <c r="J383" s="374">
        <v>0.74</v>
      </c>
      <c r="K383" s="374">
        <v>44.06</v>
      </c>
    </row>
    <row r="384" spans="2:11" x14ac:dyDescent="0.25">
      <c r="B384" s="431" t="s">
        <v>190</v>
      </c>
      <c r="C384" s="371" t="s">
        <v>1584</v>
      </c>
      <c r="D384" s="431" t="s">
        <v>214</v>
      </c>
      <c r="E384" s="431" t="s">
        <v>1585</v>
      </c>
      <c r="F384" s="500" t="s">
        <v>199</v>
      </c>
      <c r="G384" s="500"/>
      <c r="H384" s="372" t="s">
        <v>8</v>
      </c>
      <c r="I384" s="373">
        <v>5.7000000000000002E-2</v>
      </c>
      <c r="J384" s="374">
        <v>179.06</v>
      </c>
      <c r="K384" s="374">
        <v>10.199999999999999</v>
      </c>
    </row>
    <row r="385" spans="2:11" x14ac:dyDescent="0.25">
      <c r="B385" s="431" t="s">
        <v>190</v>
      </c>
      <c r="C385" s="371" t="s">
        <v>1586</v>
      </c>
      <c r="D385" s="431" t="s">
        <v>214</v>
      </c>
      <c r="E385" s="431" t="s">
        <v>1587</v>
      </c>
      <c r="F385" s="500" t="s">
        <v>199</v>
      </c>
      <c r="G385" s="500"/>
      <c r="H385" s="372" t="s">
        <v>8</v>
      </c>
      <c r="I385" s="373">
        <v>5.8000000000000003E-2</v>
      </c>
      <c r="J385" s="374">
        <v>180</v>
      </c>
      <c r="K385" s="374">
        <v>10.44</v>
      </c>
    </row>
    <row r="386" spans="2:11" ht="15" x14ac:dyDescent="0.25">
      <c r="B386" s="432"/>
      <c r="C386" s="432"/>
      <c r="D386" s="432"/>
      <c r="E386" s="432"/>
      <c r="F386" s="432"/>
      <c r="G386" s="375"/>
      <c r="H386" s="432"/>
      <c r="I386" s="375"/>
      <c r="J386" s="375"/>
      <c r="K386"/>
    </row>
    <row r="387" spans="2:11" ht="15.75" thickBot="1" x14ac:dyDescent="0.3">
      <c r="B387" s="432"/>
      <c r="C387" s="432"/>
      <c r="D387" s="432"/>
      <c r="E387" s="432"/>
      <c r="F387" s="432"/>
      <c r="G387" s="375"/>
      <c r="H387" s="432"/>
      <c r="I387" s="432"/>
      <c r="J387" s="375"/>
      <c r="K387"/>
    </row>
    <row r="388" spans="2:11" ht="13.5" thickTop="1" x14ac:dyDescent="0.25">
      <c r="B388" s="376"/>
      <c r="C388" s="376"/>
      <c r="D388" s="376"/>
      <c r="E388" s="376"/>
      <c r="F388" s="376"/>
      <c r="G388" s="376"/>
      <c r="H388" s="376"/>
      <c r="I388" s="376"/>
      <c r="J388" s="376"/>
      <c r="K388" s="376"/>
    </row>
    <row r="389" spans="2:11" ht="15" x14ac:dyDescent="0.25">
      <c r="B389" s="433" t="s">
        <v>1588</v>
      </c>
      <c r="C389" s="361" t="s">
        <v>0</v>
      </c>
      <c r="D389" s="433" t="s">
        <v>185</v>
      </c>
      <c r="E389" s="433" t="s">
        <v>83</v>
      </c>
      <c r="F389" s="498" t="s">
        <v>1</v>
      </c>
      <c r="G389" s="498"/>
      <c r="H389" s="362" t="s">
        <v>3</v>
      </c>
      <c r="I389" s="361" t="s">
        <v>186</v>
      </c>
      <c r="J389" s="361" t="s">
        <v>187</v>
      </c>
      <c r="K389" s="361" t="s">
        <v>4</v>
      </c>
    </row>
    <row r="390" spans="2:11" ht="25.5" x14ac:dyDescent="0.25">
      <c r="B390" s="434" t="s">
        <v>7</v>
      </c>
      <c r="C390" s="363" t="s">
        <v>1516</v>
      </c>
      <c r="D390" s="434" t="s">
        <v>31</v>
      </c>
      <c r="E390" s="434" t="s">
        <v>1517</v>
      </c>
      <c r="F390" s="499" t="s">
        <v>1589</v>
      </c>
      <c r="G390" s="499"/>
      <c r="H390" s="364" t="s">
        <v>2</v>
      </c>
      <c r="I390" s="365">
        <v>1</v>
      </c>
      <c r="J390" s="366">
        <v>18.420000000000002</v>
      </c>
      <c r="K390" s="366">
        <v>18.420000000000002</v>
      </c>
    </row>
    <row r="391" spans="2:11" ht="38.25" x14ac:dyDescent="0.25">
      <c r="B391" s="430" t="s">
        <v>189</v>
      </c>
      <c r="C391" s="367" t="s">
        <v>202</v>
      </c>
      <c r="D391" s="430" t="s">
        <v>31</v>
      </c>
      <c r="E391" s="430" t="s">
        <v>48</v>
      </c>
      <c r="F391" s="497" t="s">
        <v>188</v>
      </c>
      <c r="G391" s="497"/>
      <c r="H391" s="368" t="s">
        <v>32</v>
      </c>
      <c r="I391" s="369">
        <v>0.15640000000000001</v>
      </c>
      <c r="J391" s="370">
        <v>17.43</v>
      </c>
      <c r="K391" s="370">
        <v>2.72</v>
      </c>
    </row>
    <row r="392" spans="2:11" ht="38.25" x14ac:dyDescent="0.25">
      <c r="B392" s="430" t="s">
        <v>189</v>
      </c>
      <c r="C392" s="367" t="s">
        <v>1535</v>
      </c>
      <c r="D392" s="430" t="s">
        <v>31</v>
      </c>
      <c r="E392" s="430" t="s">
        <v>1536</v>
      </c>
      <c r="F392" s="497" t="s">
        <v>188</v>
      </c>
      <c r="G392" s="497"/>
      <c r="H392" s="368" t="s">
        <v>32</v>
      </c>
      <c r="I392" s="369">
        <v>3.9100000000000003E-2</v>
      </c>
      <c r="J392" s="370">
        <v>18.14</v>
      </c>
      <c r="K392" s="370">
        <v>0.7</v>
      </c>
    </row>
    <row r="393" spans="2:11" ht="38.25" x14ac:dyDescent="0.25">
      <c r="B393" s="431" t="s">
        <v>190</v>
      </c>
      <c r="C393" s="371" t="s">
        <v>1590</v>
      </c>
      <c r="D393" s="431" t="s">
        <v>31</v>
      </c>
      <c r="E393" s="431" t="s">
        <v>1591</v>
      </c>
      <c r="F393" s="500" t="s">
        <v>199</v>
      </c>
      <c r="G393" s="500"/>
      <c r="H393" s="372" t="s">
        <v>2</v>
      </c>
      <c r="I393" s="373">
        <v>1</v>
      </c>
      <c r="J393" s="374">
        <v>15</v>
      </c>
      <c r="K393" s="374">
        <v>15</v>
      </c>
    </row>
    <row r="394" spans="2:11" ht="15" x14ac:dyDescent="0.25">
      <c r="B394" s="432"/>
      <c r="C394" s="432"/>
      <c r="D394" s="432"/>
      <c r="E394" s="432"/>
      <c r="F394" s="432"/>
      <c r="G394" s="375"/>
      <c r="H394" s="432"/>
      <c r="I394" s="375"/>
      <c r="J394" s="375"/>
      <c r="K394"/>
    </row>
    <row r="395" spans="2:11" ht="15.75" thickBot="1" x14ac:dyDescent="0.3">
      <c r="B395" s="432"/>
      <c r="C395" s="432"/>
      <c r="D395" s="432"/>
      <c r="E395" s="432"/>
      <c r="F395" s="432"/>
      <c r="G395" s="375"/>
      <c r="H395" s="432"/>
      <c r="I395" s="432"/>
      <c r="J395" s="375"/>
      <c r="K395"/>
    </row>
    <row r="396" spans="2:11" ht="13.5" thickTop="1" x14ac:dyDescent="0.25">
      <c r="B396" s="376"/>
      <c r="C396" s="376"/>
      <c r="D396" s="376"/>
      <c r="E396" s="376"/>
      <c r="F396" s="376"/>
      <c r="G396" s="376"/>
      <c r="H396" s="376"/>
      <c r="I396" s="376"/>
      <c r="J396" s="376"/>
      <c r="K396" s="376"/>
    </row>
    <row r="397" spans="2:11" ht="15" x14ac:dyDescent="0.25">
      <c r="B397" s="433" t="s">
        <v>1110</v>
      </c>
      <c r="C397" s="361" t="s">
        <v>0</v>
      </c>
      <c r="D397" s="433" t="s">
        <v>185</v>
      </c>
      <c r="E397" s="433" t="s">
        <v>83</v>
      </c>
      <c r="F397" s="498" t="s">
        <v>1</v>
      </c>
      <c r="G397" s="498"/>
      <c r="H397" s="362" t="s">
        <v>3</v>
      </c>
      <c r="I397" s="361" t="s">
        <v>186</v>
      </c>
      <c r="J397" s="361" t="s">
        <v>187</v>
      </c>
      <c r="K397" s="361" t="s">
        <v>4</v>
      </c>
    </row>
    <row r="398" spans="2:11" ht="38.25" x14ac:dyDescent="0.25">
      <c r="B398" s="434" t="s">
        <v>7</v>
      </c>
      <c r="C398" s="363" t="s">
        <v>898</v>
      </c>
      <c r="D398" s="434" t="s">
        <v>31</v>
      </c>
      <c r="E398" s="434" t="s">
        <v>899</v>
      </c>
      <c r="F398" s="499" t="s">
        <v>217</v>
      </c>
      <c r="G398" s="499"/>
      <c r="H398" s="364" t="s">
        <v>22</v>
      </c>
      <c r="I398" s="365">
        <v>1</v>
      </c>
      <c r="J398" s="366">
        <v>47.02</v>
      </c>
      <c r="K398" s="366">
        <v>47.02</v>
      </c>
    </row>
    <row r="399" spans="2:11" ht="38.25" x14ac:dyDescent="0.25">
      <c r="B399" s="430" t="s">
        <v>189</v>
      </c>
      <c r="C399" s="367" t="s">
        <v>323</v>
      </c>
      <c r="D399" s="430" t="s">
        <v>31</v>
      </c>
      <c r="E399" s="430" t="s">
        <v>324</v>
      </c>
      <c r="F399" s="497" t="s">
        <v>217</v>
      </c>
      <c r="G399" s="497"/>
      <c r="H399" s="368" t="s">
        <v>22</v>
      </c>
      <c r="I399" s="369">
        <v>1</v>
      </c>
      <c r="J399" s="370">
        <v>7.27</v>
      </c>
      <c r="K399" s="370">
        <v>7.27</v>
      </c>
    </row>
    <row r="400" spans="2:11" ht="38.25" x14ac:dyDescent="0.25">
      <c r="B400" s="430" t="s">
        <v>189</v>
      </c>
      <c r="C400" s="367" t="s">
        <v>1114</v>
      </c>
      <c r="D400" s="430" t="s">
        <v>31</v>
      </c>
      <c r="E400" s="430" t="s">
        <v>1115</v>
      </c>
      <c r="F400" s="497" t="s">
        <v>217</v>
      </c>
      <c r="G400" s="497"/>
      <c r="H400" s="368" t="s">
        <v>22</v>
      </c>
      <c r="I400" s="369">
        <v>1</v>
      </c>
      <c r="J400" s="370">
        <v>39.75</v>
      </c>
      <c r="K400" s="370">
        <v>39.75</v>
      </c>
    </row>
    <row r="401" spans="2:11" ht="15" x14ac:dyDescent="0.25">
      <c r="B401" s="432"/>
      <c r="C401" s="432"/>
      <c r="D401" s="432"/>
      <c r="E401" s="432"/>
      <c r="F401" s="432"/>
      <c r="G401" s="375"/>
      <c r="H401" s="432"/>
      <c r="I401" s="375"/>
      <c r="J401" s="375"/>
      <c r="K401"/>
    </row>
    <row r="402" spans="2:11" ht="15.75" thickBot="1" x14ac:dyDescent="0.3">
      <c r="B402" s="432"/>
      <c r="C402" s="432"/>
      <c r="D402" s="432"/>
      <c r="E402" s="432"/>
      <c r="F402" s="432"/>
      <c r="G402" s="375"/>
      <c r="H402" s="432"/>
      <c r="I402" s="432"/>
      <c r="J402" s="375"/>
      <c r="K402"/>
    </row>
    <row r="403" spans="2:11" ht="13.5" thickTop="1" x14ac:dyDescent="0.25">
      <c r="B403" s="376"/>
      <c r="C403" s="376"/>
      <c r="D403" s="376"/>
      <c r="E403" s="376"/>
      <c r="F403" s="376"/>
      <c r="G403" s="376"/>
      <c r="H403" s="376"/>
      <c r="I403" s="376"/>
      <c r="J403" s="376"/>
      <c r="K403" s="376"/>
    </row>
    <row r="404" spans="2:11" ht="15" x14ac:dyDescent="0.25">
      <c r="B404" s="433" t="s">
        <v>1111</v>
      </c>
      <c r="C404" s="361" t="s">
        <v>0</v>
      </c>
      <c r="D404" s="433" t="s">
        <v>185</v>
      </c>
      <c r="E404" s="433" t="s">
        <v>83</v>
      </c>
      <c r="F404" s="498" t="s">
        <v>1</v>
      </c>
      <c r="G404" s="498"/>
      <c r="H404" s="362" t="s">
        <v>3</v>
      </c>
      <c r="I404" s="361" t="s">
        <v>186</v>
      </c>
      <c r="J404" s="361" t="s">
        <v>187</v>
      </c>
      <c r="K404" s="361" t="s">
        <v>4</v>
      </c>
    </row>
    <row r="405" spans="2:11" ht="25.5" x14ac:dyDescent="0.25">
      <c r="B405" s="434" t="s">
        <v>7</v>
      </c>
      <c r="C405" s="363" t="s">
        <v>763</v>
      </c>
      <c r="D405" s="434" t="s">
        <v>31</v>
      </c>
      <c r="E405" s="434" t="s">
        <v>764</v>
      </c>
      <c r="F405" s="499" t="s">
        <v>217</v>
      </c>
      <c r="G405" s="499"/>
      <c r="H405" s="364" t="s">
        <v>22</v>
      </c>
      <c r="I405" s="365">
        <v>1</v>
      </c>
      <c r="J405" s="366">
        <v>67.37</v>
      </c>
      <c r="K405" s="366">
        <v>67.37</v>
      </c>
    </row>
    <row r="406" spans="2:11" ht="38.25" x14ac:dyDescent="0.25">
      <c r="B406" s="430" t="s">
        <v>189</v>
      </c>
      <c r="C406" s="367" t="s">
        <v>323</v>
      </c>
      <c r="D406" s="430" t="s">
        <v>31</v>
      </c>
      <c r="E406" s="430" t="s">
        <v>324</v>
      </c>
      <c r="F406" s="497" t="s">
        <v>217</v>
      </c>
      <c r="G406" s="497"/>
      <c r="H406" s="368" t="s">
        <v>22</v>
      </c>
      <c r="I406" s="369">
        <v>1</v>
      </c>
      <c r="J406" s="370">
        <v>7.27</v>
      </c>
      <c r="K406" s="370">
        <v>7.27</v>
      </c>
    </row>
    <row r="407" spans="2:11" ht="38.25" x14ac:dyDescent="0.25">
      <c r="B407" s="430" t="s">
        <v>189</v>
      </c>
      <c r="C407" s="367" t="s">
        <v>825</v>
      </c>
      <c r="D407" s="430" t="s">
        <v>31</v>
      </c>
      <c r="E407" s="430" t="s">
        <v>826</v>
      </c>
      <c r="F407" s="497" t="s">
        <v>217</v>
      </c>
      <c r="G407" s="497"/>
      <c r="H407" s="368" t="s">
        <v>22</v>
      </c>
      <c r="I407" s="369">
        <v>1</v>
      </c>
      <c r="J407" s="370">
        <v>60.1</v>
      </c>
      <c r="K407" s="370">
        <v>60.1</v>
      </c>
    </row>
    <row r="408" spans="2:11" ht="15" x14ac:dyDescent="0.25">
      <c r="B408" s="432"/>
      <c r="C408" s="432"/>
      <c r="D408" s="432"/>
      <c r="E408" s="432"/>
      <c r="F408" s="432"/>
      <c r="G408" s="375"/>
      <c r="H408" s="432"/>
      <c r="I408" s="375"/>
      <c r="J408" s="375"/>
      <c r="K408"/>
    </row>
    <row r="409" spans="2:11" ht="15.75" thickBot="1" x14ac:dyDescent="0.3">
      <c r="B409" s="432"/>
      <c r="C409" s="432"/>
      <c r="D409" s="432"/>
      <c r="E409" s="432"/>
      <c r="F409" s="432"/>
      <c r="G409" s="375"/>
      <c r="H409" s="432"/>
      <c r="I409" s="432"/>
      <c r="J409" s="375"/>
      <c r="K409"/>
    </row>
    <row r="410" spans="2:11" ht="13.5" thickTop="1" x14ac:dyDescent="0.25">
      <c r="B410" s="376"/>
      <c r="C410" s="376"/>
      <c r="D410" s="376"/>
      <c r="E410" s="376"/>
      <c r="F410" s="376"/>
      <c r="G410" s="376"/>
      <c r="H410" s="376"/>
      <c r="I410" s="376"/>
      <c r="J410" s="376"/>
      <c r="K410" s="376"/>
    </row>
    <row r="411" spans="2:11" ht="15" x14ac:dyDescent="0.25">
      <c r="B411" s="433" t="s">
        <v>1112</v>
      </c>
      <c r="C411" s="361" t="s">
        <v>0</v>
      </c>
      <c r="D411" s="433" t="s">
        <v>185</v>
      </c>
      <c r="E411" s="433" t="s">
        <v>83</v>
      </c>
      <c r="F411" s="498" t="s">
        <v>1</v>
      </c>
      <c r="G411" s="498"/>
      <c r="H411" s="362" t="s">
        <v>3</v>
      </c>
      <c r="I411" s="361" t="s">
        <v>186</v>
      </c>
      <c r="J411" s="361" t="s">
        <v>187</v>
      </c>
      <c r="K411" s="361" t="s">
        <v>4</v>
      </c>
    </row>
    <row r="412" spans="2:11" ht="25.5" x14ac:dyDescent="0.25">
      <c r="B412" s="434" t="s">
        <v>7</v>
      </c>
      <c r="C412" s="363" t="s">
        <v>900</v>
      </c>
      <c r="D412" s="434" t="s">
        <v>31</v>
      </c>
      <c r="E412" s="434" t="s">
        <v>901</v>
      </c>
      <c r="F412" s="499" t="s">
        <v>217</v>
      </c>
      <c r="G412" s="499"/>
      <c r="H412" s="364" t="s">
        <v>22</v>
      </c>
      <c r="I412" s="365">
        <v>1</v>
      </c>
      <c r="J412" s="366">
        <v>41.5</v>
      </c>
      <c r="K412" s="366">
        <v>41.5</v>
      </c>
    </row>
    <row r="413" spans="2:11" ht="38.25" x14ac:dyDescent="0.25">
      <c r="B413" s="430" t="s">
        <v>189</v>
      </c>
      <c r="C413" s="367" t="s">
        <v>323</v>
      </c>
      <c r="D413" s="430" t="s">
        <v>31</v>
      </c>
      <c r="E413" s="430" t="s">
        <v>324</v>
      </c>
      <c r="F413" s="497" t="s">
        <v>217</v>
      </c>
      <c r="G413" s="497"/>
      <c r="H413" s="368" t="s">
        <v>22</v>
      </c>
      <c r="I413" s="369">
        <v>1</v>
      </c>
      <c r="J413" s="370">
        <v>7.27</v>
      </c>
      <c r="K413" s="370">
        <v>7.27</v>
      </c>
    </row>
    <row r="414" spans="2:11" ht="38.25" x14ac:dyDescent="0.25">
      <c r="B414" s="430" t="s">
        <v>189</v>
      </c>
      <c r="C414" s="367" t="s">
        <v>1118</v>
      </c>
      <c r="D414" s="430" t="s">
        <v>31</v>
      </c>
      <c r="E414" s="430" t="s">
        <v>1119</v>
      </c>
      <c r="F414" s="497" t="s">
        <v>217</v>
      </c>
      <c r="G414" s="497"/>
      <c r="H414" s="368" t="s">
        <v>22</v>
      </c>
      <c r="I414" s="369">
        <v>1</v>
      </c>
      <c r="J414" s="370">
        <v>34.229999999999997</v>
      </c>
      <c r="K414" s="370">
        <v>34.229999999999997</v>
      </c>
    </row>
    <row r="415" spans="2:11" ht="15" x14ac:dyDescent="0.25">
      <c r="B415" s="432"/>
      <c r="C415" s="432"/>
      <c r="D415" s="432"/>
      <c r="E415" s="432"/>
      <c r="F415" s="432"/>
      <c r="G415" s="375"/>
      <c r="H415" s="432"/>
      <c r="I415" s="375"/>
      <c r="J415" s="375"/>
      <c r="K415"/>
    </row>
    <row r="416" spans="2:11" ht="15.75" thickBot="1" x14ac:dyDescent="0.3">
      <c r="B416" s="432"/>
      <c r="C416" s="432"/>
      <c r="D416" s="432"/>
      <c r="E416" s="432"/>
      <c r="F416" s="432"/>
      <c r="G416" s="375"/>
      <c r="H416" s="432"/>
      <c r="I416" s="432"/>
      <c r="J416" s="375"/>
      <c r="K416"/>
    </row>
    <row r="417" spans="2:11" ht="13.5" thickTop="1" x14ac:dyDescent="0.25">
      <c r="B417" s="376"/>
      <c r="C417" s="376"/>
      <c r="D417" s="376"/>
      <c r="E417" s="376"/>
      <c r="F417" s="376"/>
      <c r="G417" s="376"/>
      <c r="H417" s="376"/>
      <c r="I417" s="376"/>
      <c r="J417" s="376"/>
      <c r="K417" s="376"/>
    </row>
    <row r="418" spans="2:11" ht="15" x14ac:dyDescent="0.25">
      <c r="B418" s="433" t="s">
        <v>1113</v>
      </c>
      <c r="C418" s="361" t="s">
        <v>0</v>
      </c>
      <c r="D418" s="433" t="s">
        <v>185</v>
      </c>
      <c r="E418" s="433" t="s">
        <v>83</v>
      </c>
      <c r="F418" s="498" t="s">
        <v>1</v>
      </c>
      <c r="G418" s="498"/>
      <c r="H418" s="362" t="s">
        <v>3</v>
      </c>
      <c r="I418" s="361" t="s">
        <v>186</v>
      </c>
      <c r="J418" s="361" t="s">
        <v>187</v>
      </c>
      <c r="K418" s="361" t="s">
        <v>4</v>
      </c>
    </row>
    <row r="419" spans="2:11" ht="25.5" x14ac:dyDescent="0.25">
      <c r="B419" s="434" t="s">
        <v>7</v>
      </c>
      <c r="C419" s="363" t="s">
        <v>305</v>
      </c>
      <c r="D419" s="434" t="s">
        <v>31</v>
      </c>
      <c r="E419" s="434" t="s">
        <v>306</v>
      </c>
      <c r="F419" s="499" t="s">
        <v>217</v>
      </c>
      <c r="G419" s="499"/>
      <c r="H419" s="364" t="s">
        <v>22</v>
      </c>
      <c r="I419" s="365">
        <v>1</v>
      </c>
      <c r="J419" s="366">
        <v>37.17</v>
      </c>
      <c r="K419" s="366">
        <v>37.17</v>
      </c>
    </row>
    <row r="420" spans="2:11" ht="38.25" x14ac:dyDescent="0.25">
      <c r="B420" s="430" t="s">
        <v>189</v>
      </c>
      <c r="C420" s="367" t="s">
        <v>325</v>
      </c>
      <c r="D420" s="430" t="s">
        <v>31</v>
      </c>
      <c r="E420" s="430" t="s">
        <v>326</v>
      </c>
      <c r="F420" s="497" t="s">
        <v>217</v>
      </c>
      <c r="G420" s="497"/>
      <c r="H420" s="368" t="s">
        <v>22</v>
      </c>
      <c r="I420" s="369">
        <v>1</v>
      </c>
      <c r="J420" s="370">
        <v>29.9</v>
      </c>
      <c r="K420" s="370">
        <v>29.9</v>
      </c>
    </row>
    <row r="421" spans="2:11" ht="38.25" x14ac:dyDescent="0.25">
      <c r="B421" s="430" t="s">
        <v>189</v>
      </c>
      <c r="C421" s="367" t="s">
        <v>323</v>
      </c>
      <c r="D421" s="430" t="s">
        <v>31</v>
      </c>
      <c r="E421" s="430" t="s">
        <v>324</v>
      </c>
      <c r="F421" s="497" t="s">
        <v>217</v>
      </c>
      <c r="G421" s="497"/>
      <c r="H421" s="368" t="s">
        <v>22</v>
      </c>
      <c r="I421" s="369">
        <v>1</v>
      </c>
      <c r="J421" s="370">
        <v>7.27</v>
      </c>
      <c r="K421" s="370">
        <v>7.27</v>
      </c>
    </row>
    <row r="422" spans="2:11" ht="15" x14ac:dyDescent="0.25">
      <c r="B422" s="432"/>
      <c r="C422" s="432"/>
      <c r="D422" s="432"/>
      <c r="E422" s="432"/>
      <c r="F422" s="432"/>
      <c r="G422" s="375"/>
      <c r="H422" s="432"/>
      <c r="I422" s="375"/>
      <c r="J422" s="375"/>
      <c r="K422"/>
    </row>
    <row r="423" spans="2:11" ht="15.75" thickBot="1" x14ac:dyDescent="0.3">
      <c r="B423" s="432"/>
      <c r="C423" s="432"/>
      <c r="D423" s="432"/>
      <c r="E423" s="432"/>
      <c r="F423" s="432"/>
      <c r="G423" s="375"/>
      <c r="H423" s="432"/>
      <c r="I423" s="432"/>
      <c r="J423" s="375"/>
      <c r="K423"/>
    </row>
    <row r="424" spans="2:11" ht="13.5" thickTop="1" x14ac:dyDescent="0.25">
      <c r="B424" s="376"/>
      <c r="C424" s="376"/>
      <c r="D424" s="376"/>
      <c r="E424" s="376"/>
      <c r="F424" s="376"/>
      <c r="G424" s="376"/>
      <c r="H424" s="376"/>
      <c r="I424" s="376"/>
      <c r="J424" s="376"/>
      <c r="K424" s="376"/>
    </row>
    <row r="425" spans="2:11" ht="15" x14ac:dyDescent="0.25">
      <c r="B425" s="433" t="s">
        <v>1116</v>
      </c>
      <c r="C425" s="361" t="s">
        <v>0</v>
      </c>
      <c r="D425" s="433" t="s">
        <v>185</v>
      </c>
      <c r="E425" s="433" t="s">
        <v>83</v>
      </c>
      <c r="F425" s="498" t="s">
        <v>1</v>
      </c>
      <c r="G425" s="498"/>
      <c r="H425" s="362" t="s">
        <v>3</v>
      </c>
      <c r="I425" s="361" t="s">
        <v>186</v>
      </c>
      <c r="J425" s="361" t="s">
        <v>187</v>
      </c>
      <c r="K425" s="361" t="s">
        <v>4</v>
      </c>
    </row>
    <row r="426" spans="2:11" ht="25.5" x14ac:dyDescent="0.25">
      <c r="B426" s="434" t="s">
        <v>7</v>
      </c>
      <c r="C426" s="363" t="s">
        <v>761</v>
      </c>
      <c r="D426" s="434" t="s">
        <v>31</v>
      </c>
      <c r="E426" s="434" t="s">
        <v>762</v>
      </c>
      <c r="F426" s="499" t="s">
        <v>217</v>
      </c>
      <c r="G426" s="499"/>
      <c r="H426" s="364" t="s">
        <v>22</v>
      </c>
      <c r="I426" s="365">
        <v>1</v>
      </c>
      <c r="J426" s="366">
        <v>50.9</v>
      </c>
      <c r="K426" s="366">
        <v>50.9</v>
      </c>
    </row>
    <row r="427" spans="2:11" ht="38.25" x14ac:dyDescent="0.25">
      <c r="B427" s="430" t="s">
        <v>189</v>
      </c>
      <c r="C427" s="367" t="s">
        <v>323</v>
      </c>
      <c r="D427" s="430" t="s">
        <v>31</v>
      </c>
      <c r="E427" s="430" t="s">
        <v>324</v>
      </c>
      <c r="F427" s="497" t="s">
        <v>217</v>
      </c>
      <c r="G427" s="497"/>
      <c r="H427" s="368" t="s">
        <v>22</v>
      </c>
      <c r="I427" s="369">
        <v>1</v>
      </c>
      <c r="J427" s="370">
        <v>7.27</v>
      </c>
      <c r="K427" s="370">
        <v>7.27</v>
      </c>
    </row>
    <row r="428" spans="2:11" ht="38.25" x14ac:dyDescent="0.25">
      <c r="B428" s="430" t="s">
        <v>189</v>
      </c>
      <c r="C428" s="367" t="s">
        <v>823</v>
      </c>
      <c r="D428" s="430" t="s">
        <v>31</v>
      </c>
      <c r="E428" s="430" t="s">
        <v>824</v>
      </c>
      <c r="F428" s="497" t="s">
        <v>217</v>
      </c>
      <c r="G428" s="497"/>
      <c r="H428" s="368" t="s">
        <v>22</v>
      </c>
      <c r="I428" s="369">
        <v>1</v>
      </c>
      <c r="J428" s="370">
        <v>43.63</v>
      </c>
      <c r="K428" s="370">
        <v>43.63</v>
      </c>
    </row>
    <row r="429" spans="2:11" ht="15" x14ac:dyDescent="0.25">
      <c r="B429" s="432"/>
      <c r="C429" s="432"/>
      <c r="D429" s="432"/>
      <c r="E429" s="432"/>
      <c r="F429" s="432"/>
      <c r="G429" s="375"/>
      <c r="H429" s="432"/>
      <c r="I429" s="375"/>
      <c r="J429" s="375"/>
      <c r="K429"/>
    </row>
    <row r="430" spans="2:11" ht="15.75" thickBot="1" x14ac:dyDescent="0.3">
      <c r="B430" s="432"/>
      <c r="C430" s="432"/>
      <c r="D430" s="432"/>
      <c r="E430" s="432"/>
      <c r="F430" s="432"/>
      <c r="G430" s="375"/>
      <c r="H430" s="432"/>
      <c r="I430" s="432"/>
      <c r="J430" s="375"/>
      <c r="K430"/>
    </row>
    <row r="431" spans="2:11" ht="13.5" thickTop="1" x14ac:dyDescent="0.25">
      <c r="B431" s="376"/>
      <c r="C431" s="376"/>
      <c r="D431" s="376"/>
      <c r="E431" s="376"/>
      <c r="F431" s="376"/>
      <c r="G431" s="376"/>
      <c r="H431" s="376"/>
      <c r="I431" s="376"/>
      <c r="J431" s="376"/>
      <c r="K431" s="376"/>
    </row>
    <row r="432" spans="2:11" ht="15" x14ac:dyDescent="0.25">
      <c r="B432" s="433" t="s">
        <v>1117</v>
      </c>
      <c r="C432" s="361" t="s">
        <v>0</v>
      </c>
      <c r="D432" s="433" t="s">
        <v>185</v>
      </c>
      <c r="E432" s="433" t="s">
        <v>83</v>
      </c>
      <c r="F432" s="498" t="s">
        <v>1</v>
      </c>
      <c r="G432" s="498"/>
      <c r="H432" s="362" t="s">
        <v>3</v>
      </c>
      <c r="I432" s="361" t="s">
        <v>186</v>
      </c>
      <c r="J432" s="361" t="s">
        <v>187</v>
      </c>
      <c r="K432" s="361" t="s">
        <v>4</v>
      </c>
    </row>
    <row r="433" spans="2:11" ht="38.25" x14ac:dyDescent="0.25">
      <c r="B433" s="434" t="s">
        <v>7</v>
      </c>
      <c r="C433" s="363" t="s">
        <v>902</v>
      </c>
      <c r="D433" s="434" t="s">
        <v>875</v>
      </c>
      <c r="E433" s="434" t="s">
        <v>903</v>
      </c>
      <c r="F433" s="499" t="s">
        <v>137</v>
      </c>
      <c r="G433" s="499"/>
      <c r="H433" s="364" t="s">
        <v>227</v>
      </c>
      <c r="I433" s="365">
        <v>1</v>
      </c>
      <c r="J433" s="366">
        <v>16.260000000000002</v>
      </c>
      <c r="K433" s="366">
        <v>16.260000000000002</v>
      </c>
    </row>
    <row r="434" spans="2:11" ht="38.25" x14ac:dyDescent="0.25">
      <c r="B434" s="430" t="s">
        <v>189</v>
      </c>
      <c r="C434" s="367" t="s">
        <v>1127</v>
      </c>
      <c r="D434" s="430" t="s">
        <v>875</v>
      </c>
      <c r="E434" s="430" t="s">
        <v>1128</v>
      </c>
      <c r="F434" s="497" t="s">
        <v>137</v>
      </c>
      <c r="G434" s="497"/>
      <c r="H434" s="368" t="s">
        <v>227</v>
      </c>
      <c r="I434" s="369">
        <v>2</v>
      </c>
      <c r="J434" s="370">
        <v>1.63</v>
      </c>
      <c r="K434" s="370">
        <v>3.26</v>
      </c>
    </row>
    <row r="435" spans="2:11" ht="38.25" x14ac:dyDescent="0.25">
      <c r="B435" s="430" t="s">
        <v>189</v>
      </c>
      <c r="C435" s="367" t="s">
        <v>1129</v>
      </c>
      <c r="D435" s="430" t="s">
        <v>875</v>
      </c>
      <c r="E435" s="430" t="s">
        <v>1130</v>
      </c>
      <c r="F435" s="497" t="s">
        <v>137</v>
      </c>
      <c r="G435" s="497"/>
      <c r="H435" s="368" t="s">
        <v>227</v>
      </c>
      <c r="I435" s="369">
        <v>1</v>
      </c>
      <c r="J435" s="370">
        <v>5.67</v>
      </c>
      <c r="K435" s="370">
        <v>5.67</v>
      </c>
    </row>
    <row r="436" spans="2:11" ht="38.25" x14ac:dyDescent="0.25">
      <c r="B436" s="430" t="s">
        <v>189</v>
      </c>
      <c r="C436" s="367" t="s">
        <v>1131</v>
      </c>
      <c r="D436" s="430" t="s">
        <v>875</v>
      </c>
      <c r="E436" s="430" t="s">
        <v>1132</v>
      </c>
      <c r="F436" s="497" t="s">
        <v>137</v>
      </c>
      <c r="G436" s="497"/>
      <c r="H436" s="368" t="s">
        <v>227</v>
      </c>
      <c r="I436" s="369">
        <v>1</v>
      </c>
      <c r="J436" s="370">
        <v>7.33</v>
      </c>
      <c r="K436" s="370">
        <v>7.33</v>
      </c>
    </row>
    <row r="437" spans="2:11" ht="15" x14ac:dyDescent="0.25">
      <c r="B437" s="432"/>
      <c r="C437" s="432"/>
      <c r="D437" s="432"/>
      <c r="E437" s="432"/>
      <c r="F437" s="432"/>
      <c r="G437" s="375"/>
      <c r="H437" s="432"/>
      <c r="I437" s="375"/>
      <c r="J437" s="375"/>
      <c r="K437"/>
    </row>
    <row r="438" spans="2:11" ht="15.75" thickBot="1" x14ac:dyDescent="0.3">
      <c r="B438" s="432"/>
      <c r="C438" s="432"/>
      <c r="D438" s="432"/>
      <c r="E438" s="432"/>
      <c r="F438" s="432"/>
      <c r="G438" s="375"/>
      <c r="H438" s="432"/>
      <c r="I438" s="432"/>
      <c r="J438" s="375"/>
      <c r="K438"/>
    </row>
    <row r="439" spans="2:11" ht="13.5" thickTop="1" x14ac:dyDescent="0.25">
      <c r="B439" s="376"/>
      <c r="C439" s="376"/>
      <c r="D439" s="376"/>
      <c r="E439" s="376"/>
      <c r="F439" s="376"/>
      <c r="G439" s="376"/>
      <c r="H439" s="376"/>
      <c r="I439" s="376"/>
      <c r="J439" s="376"/>
      <c r="K439" s="376"/>
    </row>
    <row r="440" spans="2:11" ht="15" x14ac:dyDescent="0.25">
      <c r="B440" s="433" t="s">
        <v>1120</v>
      </c>
      <c r="C440" s="361" t="s">
        <v>0</v>
      </c>
      <c r="D440" s="433" t="s">
        <v>185</v>
      </c>
      <c r="E440" s="433" t="s">
        <v>83</v>
      </c>
      <c r="F440" s="498" t="s">
        <v>1</v>
      </c>
      <c r="G440" s="498"/>
      <c r="H440" s="362" t="s">
        <v>3</v>
      </c>
      <c r="I440" s="361" t="s">
        <v>186</v>
      </c>
      <c r="J440" s="361" t="s">
        <v>187</v>
      </c>
      <c r="K440" s="361" t="s">
        <v>4</v>
      </c>
    </row>
    <row r="441" spans="2:11" ht="25.5" x14ac:dyDescent="0.25">
      <c r="B441" s="434" t="s">
        <v>7</v>
      </c>
      <c r="C441" s="363" t="s">
        <v>904</v>
      </c>
      <c r="D441" s="434" t="s">
        <v>905</v>
      </c>
      <c r="E441" s="434" t="s">
        <v>906</v>
      </c>
      <c r="F441" s="499">
        <v>7</v>
      </c>
      <c r="G441" s="499"/>
      <c r="H441" s="364" t="s">
        <v>847</v>
      </c>
      <c r="I441" s="365">
        <v>1</v>
      </c>
      <c r="J441" s="366">
        <v>14.56</v>
      </c>
      <c r="K441" s="366">
        <v>14.56</v>
      </c>
    </row>
    <row r="442" spans="2:11" ht="25.5" x14ac:dyDescent="0.25">
      <c r="B442" s="431" t="s">
        <v>190</v>
      </c>
      <c r="C442" s="371" t="s">
        <v>1133</v>
      </c>
      <c r="D442" s="431" t="s">
        <v>905</v>
      </c>
      <c r="E442" s="431" t="s">
        <v>906</v>
      </c>
      <c r="F442" s="500" t="s">
        <v>199</v>
      </c>
      <c r="G442" s="500"/>
      <c r="H442" s="372" t="s">
        <v>227</v>
      </c>
      <c r="I442" s="373">
        <v>1</v>
      </c>
      <c r="J442" s="374">
        <v>5.64</v>
      </c>
      <c r="K442" s="374">
        <v>5.64</v>
      </c>
    </row>
    <row r="443" spans="2:11" ht="25.5" x14ac:dyDescent="0.25">
      <c r="B443" s="431" t="s">
        <v>190</v>
      </c>
      <c r="C443" s="371" t="s">
        <v>1134</v>
      </c>
      <c r="D443" s="431" t="s">
        <v>905</v>
      </c>
      <c r="E443" s="431" t="s">
        <v>1135</v>
      </c>
      <c r="F443" s="500" t="s">
        <v>191</v>
      </c>
      <c r="G443" s="500"/>
      <c r="H443" s="372" t="s">
        <v>1126</v>
      </c>
      <c r="I443" s="373">
        <v>0.28999999999999998</v>
      </c>
      <c r="J443" s="374">
        <v>12.31</v>
      </c>
      <c r="K443" s="374">
        <v>3.56</v>
      </c>
    </row>
    <row r="444" spans="2:11" ht="25.5" x14ac:dyDescent="0.25">
      <c r="B444" s="431" t="s">
        <v>190</v>
      </c>
      <c r="C444" s="371" t="s">
        <v>1136</v>
      </c>
      <c r="D444" s="431" t="s">
        <v>905</v>
      </c>
      <c r="E444" s="431" t="s">
        <v>225</v>
      </c>
      <c r="F444" s="500" t="s">
        <v>191</v>
      </c>
      <c r="G444" s="500"/>
      <c r="H444" s="372" t="s">
        <v>1126</v>
      </c>
      <c r="I444" s="373">
        <v>0.28999999999999998</v>
      </c>
      <c r="J444" s="374">
        <v>18.510000000000002</v>
      </c>
      <c r="K444" s="374">
        <v>5.36</v>
      </c>
    </row>
    <row r="445" spans="2:11" ht="15" x14ac:dyDescent="0.25">
      <c r="B445" s="432"/>
      <c r="C445" s="432"/>
      <c r="D445" s="432"/>
      <c r="E445" s="432"/>
      <c r="F445" s="432"/>
      <c r="G445" s="375"/>
      <c r="H445" s="432"/>
      <c r="I445" s="375"/>
      <c r="J445" s="375"/>
      <c r="K445"/>
    </row>
    <row r="446" spans="2:11" ht="15.75" thickBot="1" x14ac:dyDescent="0.3">
      <c r="B446" s="432"/>
      <c r="C446" s="432"/>
      <c r="D446" s="432"/>
      <c r="E446" s="432"/>
      <c r="F446" s="432"/>
      <c r="G446" s="375"/>
      <c r="H446" s="432"/>
      <c r="I446" s="432"/>
      <c r="J446" s="375"/>
      <c r="K446"/>
    </row>
    <row r="447" spans="2:11" ht="13.5" thickTop="1" x14ac:dyDescent="0.25">
      <c r="B447" s="376"/>
      <c r="C447" s="376"/>
      <c r="D447" s="376"/>
      <c r="E447" s="376"/>
      <c r="F447" s="376"/>
      <c r="G447" s="376"/>
      <c r="H447" s="376"/>
      <c r="I447" s="376"/>
      <c r="J447" s="376"/>
      <c r="K447" s="376"/>
    </row>
    <row r="448" spans="2:11" ht="15" x14ac:dyDescent="0.25">
      <c r="B448" s="433" t="s">
        <v>1121</v>
      </c>
      <c r="C448" s="361" t="s">
        <v>0</v>
      </c>
      <c r="D448" s="433" t="s">
        <v>185</v>
      </c>
      <c r="E448" s="433" t="s">
        <v>83</v>
      </c>
      <c r="F448" s="498" t="s">
        <v>1</v>
      </c>
      <c r="G448" s="498"/>
      <c r="H448" s="362" t="s">
        <v>3</v>
      </c>
      <c r="I448" s="361" t="s">
        <v>186</v>
      </c>
      <c r="J448" s="361" t="s">
        <v>187</v>
      </c>
      <c r="K448" s="361" t="s">
        <v>4</v>
      </c>
    </row>
    <row r="449" spans="2:11" ht="25.5" x14ac:dyDescent="0.25">
      <c r="B449" s="434" t="s">
        <v>7</v>
      </c>
      <c r="C449" s="363" t="s">
        <v>907</v>
      </c>
      <c r="D449" s="434" t="s">
        <v>905</v>
      </c>
      <c r="E449" s="434" t="s">
        <v>908</v>
      </c>
      <c r="F449" s="499">
        <v>7</v>
      </c>
      <c r="G449" s="499"/>
      <c r="H449" s="364" t="s">
        <v>227</v>
      </c>
      <c r="I449" s="365">
        <v>1</v>
      </c>
      <c r="J449" s="366">
        <v>20.81</v>
      </c>
      <c r="K449" s="366">
        <v>20.81</v>
      </c>
    </row>
    <row r="450" spans="2:11" ht="25.5" x14ac:dyDescent="0.25">
      <c r="B450" s="431" t="s">
        <v>190</v>
      </c>
      <c r="C450" s="371" t="s">
        <v>1137</v>
      </c>
      <c r="D450" s="431" t="s">
        <v>905</v>
      </c>
      <c r="E450" s="431" t="s">
        <v>908</v>
      </c>
      <c r="F450" s="500" t="s">
        <v>199</v>
      </c>
      <c r="G450" s="500"/>
      <c r="H450" s="372" t="s">
        <v>227</v>
      </c>
      <c r="I450" s="373">
        <v>1</v>
      </c>
      <c r="J450" s="374">
        <v>10.96</v>
      </c>
      <c r="K450" s="374">
        <v>10.96</v>
      </c>
    </row>
    <row r="451" spans="2:11" ht="25.5" x14ac:dyDescent="0.25">
      <c r="B451" s="431" t="s">
        <v>190</v>
      </c>
      <c r="C451" s="371" t="s">
        <v>1134</v>
      </c>
      <c r="D451" s="431" t="s">
        <v>905</v>
      </c>
      <c r="E451" s="431" t="s">
        <v>1135</v>
      </c>
      <c r="F451" s="500" t="s">
        <v>191</v>
      </c>
      <c r="G451" s="500"/>
      <c r="H451" s="372" t="s">
        <v>1126</v>
      </c>
      <c r="I451" s="373">
        <v>0.32</v>
      </c>
      <c r="J451" s="374">
        <v>12.31</v>
      </c>
      <c r="K451" s="374">
        <v>3.93</v>
      </c>
    </row>
    <row r="452" spans="2:11" ht="25.5" x14ac:dyDescent="0.25">
      <c r="B452" s="431" t="s">
        <v>190</v>
      </c>
      <c r="C452" s="371" t="s">
        <v>1136</v>
      </c>
      <c r="D452" s="431" t="s">
        <v>905</v>
      </c>
      <c r="E452" s="431" t="s">
        <v>225</v>
      </c>
      <c r="F452" s="500" t="s">
        <v>191</v>
      </c>
      <c r="G452" s="500"/>
      <c r="H452" s="372" t="s">
        <v>1126</v>
      </c>
      <c r="I452" s="373">
        <v>0.32</v>
      </c>
      <c r="J452" s="374">
        <v>18.510000000000002</v>
      </c>
      <c r="K452" s="374">
        <v>5.92</v>
      </c>
    </row>
    <row r="453" spans="2:11" ht="15" x14ac:dyDescent="0.25">
      <c r="B453" s="432"/>
      <c r="C453" s="432"/>
      <c r="D453" s="432"/>
      <c r="E453" s="432"/>
      <c r="F453" s="432"/>
      <c r="G453" s="375"/>
      <c r="H453" s="432"/>
      <c r="I453" s="375"/>
      <c r="J453" s="375"/>
      <c r="K453"/>
    </row>
    <row r="454" spans="2:11" ht="15.75" thickBot="1" x14ac:dyDescent="0.3">
      <c r="B454" s="432"/>
      <c r="C454" s="432"/>
      <c r="D454" s="432"/>
      <c r="E454" s="432"/>
      <c r="F454" s="432"/>
      <c r="G454" s="375"/>
      <c r="H454" s="432"/>
      <c r="I454" s="432"/>
      <c r="J454" s="375"/>
      <c r="K454"/>
    </row>
    <row r="455" spans="2:11" ht="13.5" thickTop="1" x14ac:dyDescent="0.25">
      <c r="B455" s="376"/>
      <c r="C455" s="376"/>
      <c r="D455" s="376"/>
      <c r="E455" s="376"/>
      <c r="F455" s="376"/>
      <c r="G455" s="376"/>
      <c r="H455" s="376"/>
      <c r="I455" s="376"/>
      <c r="J455" s="376"/>
      <c r="K455" s="376"/>
    </row>
    <row r="456" spans="2:11" ht="15" x14ac:dyDescent="0.25">
      <c r="B456" s="433" t="s">
        <v>1592</v>
      </c>
      <c r="C456" s="361" t="s">
        <v>0</v>
      </c>
      <c r="D456" s="433" t="s">
        <v>185</v>
      </c>
      <c r="E456" s="433" t="s">
        <v>83</v>
      </c>
      <c r="F456" s="498" t="s">
        <v>1</v>
      </c>
      <c r="G456" s="498"/>
      <c r="H456" s="362" t="s">
        <v>3</v>
      </c>
      <c r="I456" s="361" t="s">
        <v>186</v>
      </c>
      <c r="J456" s="361" t="s">
        <v>187</v>
      </c>
      <c r="K456" s="361" t="s">
        <v>4</v>
      </c>
    </row>
    <row r="457" spans="2:11" ht="38.25" x14ac:dyDescent="0.25">
      <c r="B457" s="434" t="s">
        <v>7</v>
      </c>
      <c r="C457" s="363" t="s">
        <v>1284</v>
      </c>
      <c r="D457" s="434" t="s">
        <v>31</v>
      </c>
      <c r="E457" s="434" t="s">
        <v>1285</v>
      </c>
      <c r="F457" s="499" t="s">
        <v>217</v>
      </c>
      <c r="G457" s="499"/>
      <c r="H457" s="364" t="s">
        <v>22</v>
      </c>
      <c r="I457" s="365">
        <v>1</v>
      </c>
      <c r="J457" s="366">
        <v>61.89</v>
      </c>
      <c r="K457" s="366">
        <v>61.89</v>
      </c>
    </row>
    <row r="458" spans="2:11" ht="38.25" x14ac:dyDescent="0.25">
      <c r="B458" s="430" t="s">
        <v>189</v>
      </c>
      <c r="C458" s="367" t="s">
        <v>323</v>
      </c>
      <c r="D458" s="430" t="s">
        <v>31</v>
      </c>
      <c r="E458" s="430" t="s">
        <v>324</v>
      </c>
      <c r="F458" s="497" t="s">
        <v>217</v>
      </c>
      <c r="G458" s="497"/>
      <c r="H458" s="368" t="s">
        <v>22</v>
      </c>
      <c r="I458" s="369">
        <v>1</v>
      </c>
      <c r="J458" s="370">
        <v>7.27</v>
      </c>
      <c r="K458" s="370">
        <v>7.27</v>
      </c>
    </row>
    <row r="459" spans="2:11" ht="38.25" x14ac:dyDescent="0.25">
      <c r="B459" s="430" t="s">
        <v>189</v>
      </c>
      <c r="C459" s="367" t="s">
        <v>1326</v>
      </c>
      <c r="D459" s="430" t="s">
        <v>31</v>
      </c>
      <c r="E459" s="430" t="s">
        <v>1327</v>
      </c>
      <c r="F459" s="497" t="s">
        <v>217</v>
      </c>
      <c r="G459" s="497"/>
      <c r="H459" s="368" t="s">
        <v>22</v>
      </c>
      <c r="I459" s="369">
        <v>1</v>
      </c>
      <c r="J459" s="370">
        <v>54.62</v>
      </c>
      <c r="K459" s="370">
        <v>54.62</v>
      </c>
    </row>
    <row r="460" spans="2:11" ht="15" x14ac:dyDescent="0.25">
      <c r="B460" s="432"/>
      <c r="C460" s="432"/>
      <c r="D460" s="432"/>
      <c r="E460" s="432"/>
      <c r="F460" s="432"/>
      <c r="G460" s="375"/>
      <c r="H460" s="432"/>
      <c r="I460" s="375"/>
      <c r="J460" s="375"/>
      <c r="K460"/>
    </row>
    <row r="461" spans="2:11" ht="15.75" thickBot="1" x14ac:dyDescent="0.3">
      <c r="B461" s="432"/>
      <c r="C461" s="432"/>
      <c r="D461" s="432"/>
      <c r="E461" s="432"/>
      <c r="F461" s="432"/>
      <c r="G461" s="375"/>
      <c r="H461" s="432"/>
      <c r="I461" s="432"/>
      <c r="J461" s="375"/>
      <c r="K461"/>
    </row>
    <row r="462" spans="2:11" ht="13.5" thickTop="1" x14ac:dyDescent="0.25">
      <c r="B462" s="376"/>
      <c r="C462" s="376"/>
      <c r="D462" s="376"/>
      <c r="E462" s="376"/>
      <c r="F462" s="376"/>
      <c r="G462" s="376"/>
      <c r="H462" s="376"/>
      <c r="I462" s="376"/>
      <c r="J462" s="376"/>
      <c r="K462" s="376"/>
    </row>
    <row r="463" spans="2:11" ht="15" x14ac:dyDescent="0.25">
      <c r="B463" s="433" t="s">
        <v>1593</v>
      </c>
      <c r="C463" s="361" t="s">
        <v>0</v>
      </c>
      <c r="D463" s="433" t="s">
        <v>185</v>
      </c>
      <c r="E463" s="433" t="s">
        <v>83</v>
      </c>
      <c r="F463" s="498" t="s">
        <v>1</v>
      </c>
      <c r="G463" s="498"/>
      <c r="H463" s="362" t="s">
        <v>3</v>
      </c>
      <c r="I463" s="361" t="s">
        <v>186</v>
      </c>
      <c r="J463" s="361" t="s">
        <v>187</v>
      </c>
      <c r="K463" s="361" t="s">
        <v>4</v>
      </c>
    </row>
    <row r="464" spans="2:11" ht="25.5" x14ac:dyDescent="0.25">
      <c r="B464" s="434" t="s">
        <v>7</v>
      </c>
      <c r="C464" s="363" t="s">
        <v>1286</v>
      </c>
      <c r="D464" s="434" t="s">
        <v>31</v>
      </c>
      <c r="E464" s="434" t="s">
        <v>1287</v>
      </c>
      <c r="F464" s="499" t="s">
        <v>217</v>
      </c>
      <c r="G464" s="499"/>
      <c r="H464" s="364" t="s">
        <v>22</v>
      </c>
      <c r="I464" s="365">
        <v>1</v>
      </c>
      <c r="J464" s="366">
        <v>28.97</v>
      </c>
      <c r="K464" s="366">
        <v>28.97</v>
      </c>
    </row>
    <row r="465" spans="2:11" ht="38.25" x14ac:dyDescent="0.25">
      <c r="B465" s="430" t="s">
        <v>189</v>
      </c>
      <c r="C465" s="367" t="s">
        <v>323</v>
      </c>
      <c r="D465" s="430" t="s">
        <v>31</v>
      </c>
      <c r="E465" s="430" t="s">
        <v>324</v>
      </c>
      <c r="F465" s="497" t="s">
        <v>217</v>
      </c>
      <c r="G465" s="497"/>
      <c r="H465" s="368" t="s">
        <v>22</v>
      </c>
      <c r="I465" s="369">
        <v>1</v>
      </c>
      <c r="J465" s="370">
        <v>7.27</v>
      </c>
      <c r="K465" s="370">
        <v>7.27</v>
      </c>
    </row>
    <row r="466" spans="2:11" ht="38.25" x14ac:dyDescent="0.25">
      <c r="B466" s="430" t="s">
        <v>189</v>
      </c>
      <c r="C466" s="367" t="s">
        <v>1328</v>
      </c>
      <c r="D466" s="430" t="s">
        <v>31</v>
      </c>
      <c r="E466" s="430" t="s">
        <v>1329</v>
      </c>
      <c r="F466" s="497" t="s">
        <v>217</v>
      </c>
      <c r="G466" s="497"/>
      <c r="H466" s="368" t="s">
        <v>22</v>
      </c>
      <c r="I466" s="369">
        <v>1</v>
      </c>
      <c r="J466" s="370">
        <v>21.7</v>
      </c>
      <c r="K466" s="370">
        <v>21.7</v>
      </c>
    </row>
    <row r="467" spans="2:11" ht="15" x14ac:dyDescent="0.25">
      <c r="B467" s="432"/>
      <c r="C467" s="432"/>
      <c r="D467" s="432"/>
      <c r="E467" s="432"/>
      <c r="F467" s="432"/>
      <c r="G467" s="375"/>
      <c r="H467" s="432"/>
      <c r="I467" s="375"/>
      <c r="J467" s="375"/>
      <c r="K467"/>
    </row>
    <row r="468" spans="2:11" ht="15.75" thickBot="1" x14ac:dyDescent="0.3">
      <c r="B468" s="432"/>
      <c r="C468" s="432"/>
      <c r="D468" s="432"/>
      <c r="E468" s="432"/>
      <c r="F468" s="432"/>
      <c r="G468" s="375"/>
      <c r="H468" s="432"/>
      <c r="I468" s="432"/>
      <c r="J468" s="375"/>
      <c r="K468"/>
    </row>
    <row r="469" spans="2:11" ht="13.5" thickTop="1" x14ac:dyDescent="0.25">
      <c r="B469" s="376"/>
      <c r="C469" s="376"/>
      <c r="D469" s="376"/>
      <c r="E469" s="376"/>
      <c r="F469" s="376"/>
      <c r="G469" s="376"/>
      <c r="H469" s="376"/>
      <c r="I469" s="376"/>
      <c r="J469" s="376"/>
      <c r="K469" s="376"/>
    </row>
    <row r="470" spans="2:11" ht="15" x14ac:dyDescent="0.25">
      <c r="B470" s="433" t="s">
        <v>1138</v>
      </c>
      <c r="C470" s="361" t="s">
        <v>0</v>
      </c>
      <c r="D470" s="433" t="s">
        <v>185</v>
      </c>
      <c r="E470" s="433" t="s">
        <v>83</v>
      </c>
      <c r="F470" s="498" t="s">
        <v>1</v>
      </c>
      <c r="G470" s="498"/>
      <c r="H470" s="362" t="s">
        <v>3</v>
      </c>
      <c r="I470" s="361" t="s">
        <v>186</v>
      </c>
      <c r="J470" s="361" t="s">
        <v>187</v>
      </c>
      <c r="K470" s="361" t="s">
        <v>4</v>
      </c>
    </row>
    <row r="471" spans="2:11" ht="25.5" x14ac:dyDescent="0.25">
      <c r="B471" s="434" t="s">
        <v>7</v>
      </c>
      <c r="C471" s="363" t="s">
        <v>925</v>
      </c>
      <c r="D471" s="434" t="s">
        <v>875</v>
      </c>
      <c r="E471" s="434" t="s">
        <v>926</v>
      </c>
      <c r="F471" s="499" t="s">
        <v>137</v>
      </c>
      <c r="G471" s="499"/>
      <c r="H471" s="364" t="s">
        <v>227</v>
      </c>
      <c r="I471" s="365">
        <v>1</v>
      </c>
      <c r="J471" s="366">
        <v>92.62</v>
      </c>
      <c r="K471" s="366">
        <v>92.62</v>
      </c>
    </row>
    <row r="472" spans="2:11" ht="38.25" x14ac:dyDescent="0.25">
      <c r="B472" s="430" t="s">
        <v>189</v>
      </c>
      <c r="C472" s="367" t="s">
        <v>1084</v>
      </c>
      <c r="D472" s="430" t="s">
        <v>875</v>
      </c>
      <c r="E472" s="430" t="s">
        <v>1085</v>
      </c>
      <c r="F472" s="497" t="s">
        <v>137</v>
      </c>
      <c r="G472" s="497"/>
      <c r="H472" s="368" t="s">
        <v>1086</v>
      </c>
      <c r="I472" s="369">
        <v>1</v>
      </c>
      <c r="J472" s="370">
        <v>20.440000000000001</v>
      </c>
      <c r="K472" s="370">
        <v>20.440000000000001</v>
      </c>
    </row>
    <row r="473" spans="2:11" ht="38.25" x14ac:dyDescent="0.25">
      <c r="B473" s="430" t="s">
        <v>189</v>
      </c>
      <c r="C473" s="367" t="s">
        <v>1087</v>
      </c>
      <c r="D473" s="430" t="s">
        <v>875</v>
      </c>
      <c r="E473" s="430" t="s">
        <v>221</v>
      </c>
      <c r="F473" s="497" t="s">
        <v>137</v>
      </c>
      <c r="G473" s="497"/>
      <c r="H473" s="368" t="s">
        <v>1086</v>
      </c>
      <c r="I473" s="369">
        <v>1</v>
      </c>
      <c r="J473" s="370">
        <v>25.49</v>
      </c>
      <c r="K473" s="370">
        <v>25.49</v>
      </c>
    </row>
    <row r="474" spans="2:11" ht="25.5" x14ac:dyDescent="0.25">
      <c r="B474" s="431" t="s">
        <v>190</v>
      </c>
      <c r="C474" s="371" t="s">
        <v>1139</v>
      </c>
      <c r="D474" s="431" t="s">
        <v>875</v>
      </c>
      <c r="E474" s="431" t="s">
        <v>1140</v>
      </c>
      <c r="F474" s="500" t="s">
        <v>199</v>
      </c>
      <c r="G474" s="500"/>
      <c r="H474" s="372" t="s">
        <v>227</v>
      </c>
      <c r="I474" s="373">
        <v>1</v>
      </c>
      <c r="J474" s="374">
        <v>46.69</v>
      </c>
      <c r="K474" s="374">
        <v>46.69</v>
      </c>
    </row>
    <row r="475" spans="2:11" ht="15" x14ac:dyDescent="0.25">
      <c r="B475" s="432"/>
      <c r="C475" s="432"/>
      <c r="D475" s="432"/>
      <c r="E475" s="432"/>
      <c r="F475" s="432"/>
      <c r="G475" s="375"/>
      <c r="H475" s="432"/>
      <c r="I475" s="375"/>
      <c r="J475" s="375"/>
      <c r="K475"/>
    </row>
    <row r="476" spans="2:11" ht="15.75" thickBot="1" x14ac:dyDescent="0.3">
      <c r="B476" s="432"/>
      <c r="C476" s="432"/>
      <c r="D476" s="432"/>
      <c r="E476" s="432"/>
      <c r="F476" s="432"/>
      <c r="G476" s="375"/>
      <c r="H476" s="432"/>
      <c r="I476" s="432"/>
      <c r="J476" s="375"/>
      <c r="K476"/>
    </row>
    <row r="477" spans="2:11" ht="13.5" thickTop="1" x14ac:dyDescent="0.25">
      <c r="B477" s="376"/>
      <c r="C477" s="376"/>
      <c r="D477" s="376"/>
      <c r="E477" s="376"/>
      <c r="F477" s="376"/>
      <c r="G477" s="376"/>
      <c r="H477" s="376"/>
      <c r="I477" s="376"/>
      <c r="J477" s="376"/>
      <c r="K477" s="376"/>
    </row>
    <row r="478" spans="2:11" ht="15" x14ac:dyDescent="0.25">
      <c r="B478" s="433" t="s">
        <v>1141</v>
      </c>
      <c r="C478" s="361" t="s">
        <v>0</v>
      </c>
      <c r="D478" s="433" t="s">
        <v>185</v>
      </c>
      <c r="E478" s="433" t="s">
        <v>83</v>
      </c>
      <c r="F478" s="498" t="s">
        <v>1</v>
      </c>
      <c r="G478" s="498"/>
      <c r="H478" s="362" t="s">
        <v>3</v>
      </c>
      <c r="I478" s="361" t="s">
        <v>186</v>
      </c>
      <c r="J478" s="361" t="s">
        <v>187</v>
      </c>
      <c r="K478" s="361" t="s">
        <v>4</v>
      </c>
    </row>
    <row r="479" spans="2:11" ht="25.5" x14ac:dyDescent="0.25">
      <c r="B479" s="434" t="s">
        <v>7</v>
      </c>
      <c r="C479" s="363" t="s">
        <v>927</v>
      </c>
      <c r="D479" s="434" t="s">
        <v>875</v>
      </c>
      <c r="E479" s="434" t="s">
        <v>928</v>
      </c>
      <c r="F479" s="499" t="s">
        <v>137</v>
      </c>
      <c r="G479" s="499"/>
      <c r="H479" s="364" t="s">
        <v>227</v>
      </c>
      <c r="I479" s="365">
        <v>1</v>
      </c>
      <c r="J479" s="366">
        <v>115.38</v>
      </c>
      <c r="K479" s="366">
        <v>115.38</v>
      </c>
    </row>
    <row r="480" spans="2:11" ht="38.25" x14ac:dyDescent="0.25">
      <c r="B480" s="430" t="s">
        <v>189</v>
      </c>
      <c r="C480" s="367" t="s">
        <v>1084</v>
      </c>
      <c r="D480" s="430" t="s">
        <v>875</v>
      </c>
      <c r="E480" s="430" t="s">
        <v>1085</v>
      </c>
      <c r="F480" s="497" t="s">
        <v>137</v>
      </c>
      <c r="G480" s="497"/>
      <c r="H480" s="368" t="s">
        <v>1086</v>
      </c>
      <c r="I480" s="369">
        <v>1</v>
      </c>
      <c r="J480" s="370">
        <v>20.440000000000001</v>
      </c>
      <c r="K480" s="370">
        <v>20.440000000000001</v>
      </c>
    </row>
    <row r="481" spans="2:11" ht="38.25" x14ac:dyDescent="0.25">
      <c r="B481" s="430" t="s">
        <v>189</v>
      </c>
      <c r="C481" s="367" t="s">
        <v>1087</v>
      </c>
      <c r="D481" s="430" t="s">
        <v>875</v>
      </c>
      <c r="E481" s="430" t="s">
        <v>221</v>
      </c>
      <c r="F481" s="497" t="s">
        <v>137</v>
      </c>
      <c r="G481" s="497"/>
      <c r="H481" s="368" t="s">
        <v>1086</v>
      </c>
      <c r="I481" s="369">
        <v>1</v>
      </c>
      <c r="J481" s="370">
        <v>25.49</v>
      </c>
      <c r="K481" s="370">
        <v>25.49</v>
      </c>
    </row>
    <row r="482" spans="2:11" ht="25.5" x14ac:dyDescent="0.25">
      <c r="B482" s="431" t="s">
        <v>190</v>
      </c>
      <c r="C482" s="371" t="s">
        <v>1142</v>
      </c>
      <c r="D482" s="431" t="s">
        <v>875</v>
      </c>
      <c r="E482" s="431" t="s">
        <v>1143</v>
      </c>
      <c r="F482" s="500" t="s">
        <v>199</v>
      </c>
      <c r="G482" s="500"/>
      <c r="H482" s="372" t="s">
        <v>227</v>
      </c>
      <c r="I482" s="373">
        <v>1</v>
      </c>
      <c r="J482" s="374">
        <v>69.45</v>
      </c>
      <c r="K482" s="374">
        <v>69.45</v>
      </c>
    </row>
    <row r="483" spans="2:11" ht="15" x14ac:dyDescent="0.25">
      <c r="B483" s="432"/>
      <c r="C483" s="432"/>
      <c r="D483" s="432"/>
      <c r="E483" s="432"/>
      <c r="F483" s="432"/>
      <c r="G483" s="375"/>
      <c r="H483" s="432"/>
      <c r="I483" s="375"/>
      <c r="J483" s="375"/>
      <c r="K483"/>
    </row>
    <row r="484" spans="2:11" ht="15.75" thickBot="1" x14ac:dyDescent="0.3">
      <c r="B484" s="432"/>
      <c r="C484" s="432"/>
      <c r="D484" s="432"/>
      <c r="E484" s="432"/>
      <c r="F484" s="432"/>
      <c r="G484" s="375"/>
      <c r="H484" s="432"/>
      <c r="I484" s="432"/>
      <c r="J484" s="375"/>
      <c r="K484"/>
    </row>
    <row r="485" spans="2:11" ht="13.5" thickTop="1" x14ac:dyDescent="0.25">
      <c r="B485" s="376"/>
      <c r="C485" s="376"/>
      <c r="D485" s="376"/>
      <c r="E485" s="376"/>
      <c r="F485" s="376"/>
      <c r="G485" s="376"/>
      <c r="H485" s="376"/>
      <c r="I485" s="376"/>
      <c r="J485" s="376"/>
      <c r="K485" s="376"/>
    </row>
    <row r="486" spans="2:11" ht="15" x14ac:dyDescent="0.25">
      <c r="B486" s="433" t="s">
        <v>1144</v>
      </c>
      <c r="C486" s="361" t="s">
        <v>0</v>
      </c>
      <c r="D486" s="433" t="s">
        <v>185</v>
      </c>
      <c r="E486" s="433" t="s">
        <v>83</v>
      </c>
      <c r="F486" s="498" t="s">
        <v>1</v>
      </c>
      <c r="G486" s="498"/>
      <c r="H486" s="362" t="s">
        <v>3</v>
      </c>
      <c r="I486" s="361" t="s">
        <v>186</v>
      </c>
      <c r="J486" s="361" t="s">
        <v>187</v>
      </c>
      <c r="K486" s="361" t="s">
        <v>4</v>
      </c>
    </row>
    <row r="487" spans="2:11" ht="25.5" x14ac:dyDescent="0.25">
      <c r="B487" s="434" t="s">
        <v>7</v>
      </c>
      <c r="C487" s="363" t="s">
        <v>929</v>
      </c>
      <c r="D487" s="434" t="s">
        <v>214</v>
      </c>
      <c r="E487" s="434" t="s">
        <v>930</v>
      </c>
      <c r="F487" s="499" t="s">
        <v>1308</v>
      </c>
      <c r="G487" s="499"/>
      <c r="H487" s="364" t="s">
        <v>22</v>
      </c>
      <c r="I487" s="365">
        <v>1</v>
      </c>
      <c r="J487" s="366">
        <v>73.61</v>
      </c>
      <c r="K487" s="366">
        <v>73.61</v>
      </c>
    </row>
    <row r="488" spans="2:11" ht="38.25" x14ac:dyDescent="0.25">
      <c r="B488" s="430" t="s">
        <v>189</v>
      </c>
      <c r="C488" s="367" t="s">
        <v>220</v>
      </c>
      <c r="D488" s="430" t="s">
        <v>31</v>
      </c>
      <c r="E488" s="430" t="s">
        <v>221</v>
      </c>
      <c r="F488" s="497" t="s">
        <v>188</v>
      </c>
      <c r="G488" s="497"/>
      <c r="H488" s="368" t="s">
        <v>32</v>
      </c>
      <c r="I488" s="369">
        <v>0.41199999999999998</v>
      </c>
      <c r="J488" s="370">
        <v>22.58</v>
      </c>
      <c r="K488" s="370">
        <v>9.3000000000000007</v>
      </c>
    </row>
    <row r="489" spans="2:11" ht="38.25" x14ac:dyDescent="0.25">
      <c r="B489" s="430" t="s">
        <v>189</v>
      </c>
      <c r="C489" s="367" t="s">
        <v>218</v>
      </c>
      <c r="D489" s="430" t="s">
        <v>31</v>
      </c>
      <c r="E489" s="430" t="s">
        <v>219</v>
      </c>
      <c r="F489" s="497" t="s">
        <v>188</v>
      </c>
      <c r="G489" s="497"/>
      <c r="H489" s="368" t="s">
        <v>32</v>
      </c>
      <c r="I489" s="369">
        <v>0.41199999999999998</v>
      </c>
      <c r="J489" s="370">
        <v>18.48</v>
      </c>
      <c r="K489" s="370">
        <v>7.61</v>
      </c>
    </row>
    <row r="490" spans="2:11" x14ac:dyDescent="0.25">
      <c r="B490" s="431" t="s">
        <v>190</v>
      </c>
      <c r="C490" s="371" t="s">
        <v>1145</v>
      </c>
      <c r="D490" s="431" t="s">
        <v>214</v>
      </c>
      <c r="E490" s="431" t="s">
        <v>1146</v>
      </c>
      <c r="F490" s="500" t="s">
        <v>199</v>
      </c>
      <c r="G490" s="500"/>
      <c r="H490" s="372" t="s">
        <v>22</v>
      </c>
      <c r="I490" s="373">
        <v>1</v>
      </c>
      <c r="J490" s="374">
        <v>56.7</v>
      </c>
      <c r="K490" s="374">
        <v>56.7</v>
      </c>
    </row>
    <row r="491" spans="2:11" ht="15" x14ac:dyDescent="0.25">
      <c r="B491" s="432"/>
      <c r="C491" s="432"/>
      <c r="D491" s="432"/>
      <c r="E491" s="432"/>
      <c r="F491" s="432"/>
      <c r="G491" s="375"/>
      <c r="H491" s="432"/>
      <c r="I491" s="375"/>
      <c r="J491" s="375"/>
      <c r="K491"/>
    </row>
    <row r="492" spans="2:11" ht="15.75" thickBot="1" x14ac:dyDescent="0.3">
      <c r="B492" s="432"/>
      <c r="C492" s="432"/>
      <c r="D492" s="432"/>
      <c r="E492" s="432"/>
      <c r="F492" s="432"/>
      <c r="G492" s="375"/>
      <c r="H492" s="432"/>
      <c r="I492" s="432"/>
      <c r="J492" s="375"/>
      <c r="K492"/>
    </row>
    <row r="493" spans="2:11" ht="13.5" thickTop="1" x14ac:dyDescent="0.25">
      <c r="B493" s="376"/>
      <c r="C493" s="376"/>
      <c r="D493" s="376"/>
      <c r="E493" s="376"/>
      <c r="F493" s="376"/>
      <c r="G493" s="376"/>
      <c r="H493" s="376"/>
      <c r="I493" s="376"/>
      <c r="J493" s="376"/>
      <c r="K493" s="376"/>
    </row>
    <row r="494" spans="2:11" ht="15" x14ac:dyDescent="0.25">
      <c r="B494" s="433" t="s">
        <v>1147</v>
      </c>
      <c r="C494" s="361" t="s">
        <v>0</v>
      </c>
      <c r="D494" s="433" t="s">
        <v>185</v>
      </c>
      <c r="E494" s="433" t="s">
        <v>83</v>
      </c>
      <c r="F494" s="498" t="s">
        <v>1</v>
      </c>
      <c r="G494" s="498"/>
      <c r="H494" s="362" t="s">
        <v>3</v>
      </c>
      <c r="I494" s="361" t="s">
        <v>186</v>
      </c>
      <c r="J494" s="361" t="s">
        <v>187</v>
      </c>
      <c r="K494" s="361" t="s">
        <v>4</v>
      </c>
    </row>
    <row r="495" spans="2:11" ht="25.5" x14ac:dyDescent="0.25">
      <c r="B495" s="434" t="s">
        <v>7</v>
      </c>
      <c r="C495" s="363" t="s">
        <v>931</v>
      </c>
      <c r="D495" s="434" t="s">
        <v>875</v>
      </c>
      <c r="E495" s="434" t="s">
        <v>932</v>
      </c>
      <c r="F495" s="499" t="s">
        <v>137</v>
      </c>
      <c r="G495" s="499"/>
      <c r="H495" s="364" t="s">
        <v>227</v>
      </c>
      <c r="I495" s="365">
        <v>1</v>
      </c>
      <c r="J495" s="366">
        <v>92.62</v>
      </c>
      <c r="K495" s="366">
        <v>92.62</v>
      </c>
    </row>
    <row r="496" spans="2:11" ht="38.25" x14ac:dyDescent="0.25">
      <c r="B496" s="430" t="s">
        <v>189</v>
      </c>
      <c r="C496" s="367" t="s">
        <v>1084</v>
      </c>
      <c r="D496" s="430" t="s">
        <v>875</v>
      </c>
      <c r="E496" s="430" t="s">
        <v>1085</v>
      </c>
      <c r="F496" s="497" t="s">
        <v>137</v>
      </c>
      <c r="G496" s="497"/>
      <c r="H496" s="368" t="s">
        <v>1086</v>
      </c>
      <c r="I496" s="369">
        <v>1</v>
      </c>
      <c r="J496" s="370">
        <v>20.440000000000001</v>
      </c>
      <c r="K496" s="370">
        <v>20.440000000000001</v>
      </c>
    </row>
    <row r="497" spans="2:11" ht="38.25" x14ac:dyDescent="0.25">
      <c r="B497" s="430" t="s">
        <v>189</v>
      </c>
      <c r="C497" s="367" t="s">
        <v>1087</v>
      </c>
      <c r="D497" s="430" t="s">
        <v>875</v>
      </c>
      <c r="E497" s="430" t="s">
        <v>221</v>
      </c>
      <c r="F497" s="497" t="s">
        <v>137</v>
      </c>
      <c r="G497" s="497"/>
      <c r="H497" s="368" t="s">
        <v>1086</v>
      </c>
      <c r="I497" s="369">
        <v>1</v>
      </c>
      <c r="J497" s="370">
        <v>25.49</v>
      </c>
      <c r="K497" s="370">
        <v>25.49</v>
      </c>
    </row>
    <row r="498" spans="2:11" ht="25.5" x14ac:dyDescent="0.25">
      <c r="B498" s="431" t="s">
        <v>190</v>
      </c>
      <c r="C498" s="371" t="s">
        <v>1139</v>
      </c>
      <c r="D498" s="431" t="s">
        <v>875</v>
      </c>
      <c r="E498" s="431" t="s">
        <v>1140</v>
      </c>
      <c r="F498" s="500" t="s">
        <v>199</v>
      </c>
      <c r="G498" s="500"/>
      <c r="H498" s="372" t="s">
        <v>227</v>
      </c>
      <c r="I498" s="373">
        <v>1</v>
      </c>
      <c r="J498" s="374">
        <v>46.69</v>
      </c>
      <c r="K498" s="374">
        <v>46.69</v>
      </c>
    </row>
    <row r="499" spans="2:11" ht="15" x14ac:dyDescent="0.25">
      <c r="B499" s="432"/>
      <c r="C499" s="432"/>
      <c r="D499" s="432"/>
      <c r="E499" s="432"/>
      <c r="F499" s="432"/>
      <c r="G499" s="375"/>
      <c r="H499" s="432"/>
      <c r="I499" s="375"/>
      <c r="J499" s="375"/>
      <c r="K499"/>
    </row>
    <row r="500" spans="2:11" ht="15.75" thickBot="1" x14ac:dyDescent="0.3">
      <c r="B500" s="432"/>
      <c r="C500" s="432"/>
      <c r="D500" s="432"/>
      <c r="E500" s="432"/>
      <c r="F500" s="432"/>
      <c r="G500" s="375"/>
      <c r="H500" s="432"/>
      <c r="I500" s="432"/>
      <c r="J500" s="375"/>
      <c r="K500"/>
    </row>
    <row r="501" spans="2:11" ht="13.5" thickTop="1" x14ac:dyDescent="0.25">
      <c r="B501" s="376"/>
      <c r="C501" s="376"/>
      <c r="D501" s="376"/>
      <c r="E501" s="376"/>
      <c r="F501" s="376"/>
      <c r="G501" s="376"/>
      <c r="H501" s="376"/>
      <c r="I501" s="376"/>
      <c r="J501" s="376"/>
      <c r="K501" s="376"/>
    </row>
    <row r="502" spans="2:11" ht="15" x14ac:dyDescent="0.25">
      <c r="B502" s="433" t="s">
        <v>1148</v>
      </c>
      <c r="C502" s="361" t="s">
        <v>0</v>
      </c>
      <c r="D502" s="433" t="s">
        <v>185</v>
      </c>
      <c r="E502" s="433" t="s">
        <v>83</v>
      </c>
      <c r="F502" s="498" t="s">
        <v>1</v>
      </c>
      <c r="G502" s="498"/>
      <c r="H502" s="362" t="s">
        <v>3</v>
      </c>
      <c r="I502" s="361" t="s">
        <v>186</v>
      </c>
      <c r="J502" s="361" t="s">
        <v>187</v>
      </c>
      <c r="K502" s="361" t="s">
        <v>4</v>
      </c>
    </row>
    <row r="503" spans="2:11" ht="25.5" x14ac:dyDescent="0.25">
      <c r="B503" s="434" t="s">
        <v>7</v>
      </c>
      <c r="C503" s="363" t="s">
        <v>757</v>
      </c>
      <c r="D503" s="434" t="s">
        <v>31</v>
      </c>
      <c r="E503" s="434" t="s">
        <v>758</v>
      </c>
      <c r="F503" s="499" t="s">
        <v>217</v>
      </c>
      <c r="G503" s="499"/>
      <c r="H503" s="364" t="s">
        <v>22</v>
      </c>
      <c r="I503" s="365">
        <v>1</v>
      </c>
      <c r="J503" s="366">
        <v>83.8</v>
      </c>
      <c r="K503" s="366">
        <v>83.8</v>
      </c>
    </row>
    <row r="504" spans="2:11" ht="38.25" x14ac:dyDescent="0.25">
      <c r="B504" s="430" t="s">
        <v>189</v>
      </c>
      <c r="C504" s="367" t="s">
        <v>220</v>
      </c>
      <c r="D504" s="430" t="s">
        <v>31</v>
      </c>
      <c r="E504" s="430" t="s">
        <v>221</v>
      </c>
      <c r="F504" s="497" t="s">
        <v>188</v>
      </c>
      <c r="G504" s="497"/>
      <c r="H504" s="368" t="s">
        <v>32</v>
      </c>
      <c r="I504" s="369">
        <v>0.27339999999999998</v>
      </c>
      <c r="J504" s="370">
        <v>22.58</v>
      </c>
      <c r="K504" s="370">
        <v>6.17</v>
      </c>
    </row>
    <row r="505" spans="2:11" ht="38.25" x14ac:dyDescent="0.25">
      <c r="B505" s="430" t="s">
        <v>189</v>
      </c>
      <c r="C505" s="367" t="s">
        <v>218</v>
      </c>
      <c r="D505" s="430" t="s">
        <v>31</v>
      </c>
      <c r="E505" s="430" t="s">
        <v>219</v>
      </c>
      <c r="F505" s="497" t="s">
        <v>188</v>
      </c>
      <c r="G505" s="497"/>
      <c r="H505" s="368" t="s">
        <v>32</v>
      </c>
      <c r="I505" s="369">
        <v>0.27339999999999998</v>
      </c>
      <c r="J505" s="370">
        <v>18.48</v>
      </c>
      <c r="K505" s="370">
        <v>5.05</v>
      </c>
    </row>
    <row r="506" spans="2:11" ht="38.25" x14ac:dyDescent="0.25">
      <c r="B506" s="431" t="s">
        <v>190</v>
      </c>
      <c r="C506" s="371" t="s">
        <v>269</v>
      </c>
      <c r="D506" s="431" t="s">
        <v>31</v>
      </c>
      <c r="E506" s="431" t="s">
        <v>270</v>
      </c>
      <c r="F506" s="500" t="s">
        <v>199</v>
      </c>
      <c r="G506" s="500"/>
      <c r="H506" s="372" t="s">
        <v>22</v>
      </c>
      <c r="I506" s="373">
        <v>1</v>
      </c>
      <c r="J506" s="374">
        <v>67.78</v>
      </c>
      <c r="K506" s="374">
        <v>67.78</v>
      </c>
    </row>
    <row r="507" spans="2:11" ht="38.25" x14ac:dyDescent="0.25">
      <c r="B507" s="431" t="s">
        <v>190</v>
      </c>
      <c r="C507" s="371" t="s">
        <v>819</v>
      </c>
      <c r="D507" s="431" t="s">
        <v>31</v>
      </c>
      <c r="E507" s="431" t="s">
        <v>820</v>
      </c>
      <c r="F507" s="500" t="s">
        <v>199</v>
      </c>
      <c r="G507" s="500"/>
      <c r="H507" s="372" t="s">
        <v>22</v>
      </c>
      <c r="I507" s="373">
        <v>3</v>
      </c>
      <c r="J507" s="374">
        <v>1.6</v>
      </c>
      <c r="K507" s="374">
        <v>4.8</v>
      </c>
    </row>
    <row r="508" spans="2:11" ht="15" x14ac:dyDescent="0.25">
      <c r="B508" s="432"/>
      <c r="C508" s="432"/>
      <c r="D508" s="432"/>
      <c r="E508" s="432"/>
      <c r="F508" s="432"/>
      <c r="G508" s="375"/>
      <c r="H508" s="432"/>
      <c r="I508" s="375"/>
      <c r="J508" s="375"/>
      <c r="K508"/>
    </row>
    <row r="509" spans="2:11" ht="15.75" thickBot="1" x14ac:dyDescent="0.3">
      <c r="B509" s="432"/>
      <c r="C509" s="432"/>
      <c r="D509" s="432"/>
      <c r="E509" s="432"/>
      <c r="F509" s="432"/>
      <c r="G509" s="375"/>
      <c r="H509" s="432"/>
      <c r="I509" s="432"/>
      <c r="J509" s="375"/>
      <c r="K509"/>
    </row>
    <row r="510" spans="2:11" ht="13.5" thickTop="1" x14ac:dyDescent="0.25">
      <c r="B510" s="376"/>
      <c r="C510" s="376"/>
      <c r="D510" s="376"/>
      <c r="E510" s="376"/>
      <c r="F510" s="376"/>
      <c r="G510" s="376"/>
      <c r="H510" s="376"/>
      <c r="I510" s="376"/>
      <c r="J510" s="376"/>
      <c r="K510" s="376"/>
    </row>
    <row r="511" spans="2:11" ht="15" x14ac:dyDescent="0.25">
      <c r="B511" s="433" t="s">
        <v>1149</v>
      </c>
      <c r="C511" s="361" t="s">
        <v>0</v>
      </c>
      <c r="D511" s="433" t="s">
        <v>185</v>
      </c>
      <c r="E511" s="433" t="s">
        <v>83</v>
      </c>
      <c r="F511" s="498" t="s">
        <v>1</v>
      </c>
      <c r="G511" s="498"/>
      <c r="H511" s="362" t="s">
        <v>3</v>
      </c>
      <c r="I511" s="361" t="s">
        <v>186</v>
      </c>
      <c r="J511" s="361" t="s">
        <v>187</v>
      </c>
      <c r="K511" s="361" t="s">
        <v>4</v>
      </c>
    </row>
    <row r="512" spans="2:11" ht="25.5" x14ac:dyDescent="0.25">
      <c r="B512" s="434" t="s">
        <v>7</v>
      </c>
      <c r="C512" s="363" t="s">
        <v>933</v>
      </c>
      <c r="D512" s="434" t="s">
        <v>875</v>
      </c>
      <c r="E512" s="434" t="s">
        <v>934</v>
      </c>
      <c r="F512" s="499" t="s">
        <v>137</v>
      </c>
      <c r="G512" s="499"/>
      <c r="H512" s="364" t="s">
        <v>227</v>
      </c>
      <c r="I512" s="365">
        <v>1</v>
      </c>
      <c r="J512" s="366">
        <v>92.62</v>
      </c>
      <c r="K512" s="366">
        <v>92.62</v>
      </c>
    </row>
    <row r="513" spans="2:11" ht="38.25" x14ac:dyDescent="0.25">
      <c r="B513" s="430" t="s">
        <v>189</v>
      </c>
      <c r="C513" s="367" t="s">
        <v>1084</v>
      </c>
      <c r="D513" s="430" t="s">
        <v>875</v>
      </c>
      <c r="E513" s="430" t="s">
        <v>1085</v>
      </c>
      <c r="F513" s="497" t="s">
        <v>137</v>
      </c>
      <c r="G513" s="497"/>
      <c r="H513" s="368" t="s">
        <v>1086</v>
      </c>
      <c r="I513" s="369">
        <v>1</v>
      </c>
      <c r="J513" s="370">
        <v>20.440000000000001</v>
      </c>
      <c r="K513" s="370">
        <v>20.440000000000001</v>
      </c>
    </row>
    <row r="514" spans="2:11" ht="38.25" x14ac:dyDescent="0.25">
      <c r="B514" s="430" t="s">
        <v>189</v>
      </c>
      <c r="C514" s="367" t="s">
        <v>1087</v>
      </c>
      <c r="D514" s="430" t="s">
        <v>875</v>
      </c>
      <c r="E514" s="430" t="s">
        <v>221</v>
      </c>
      <c r="F514" s="497" t="s">
        <v>137</v>
      </c>
      <c r="G514" s="497"/>
      <c r="H514" s="368" t="s">
        <v>1086</v>
      </c>
      <c r="I514" s="369">
        <v>1</v>
      </c>
      <c r="J514" s="370">
        <v>25.49</v>
      </c>
      <c r="K514" s="370">
        <v>25.49</v>
      </c>
    </row>
    <row r="515" spans="2:11" ht="25.5" x14ac:dyDescent="0.25">
      <c r="B515" s="431" t="s">
        <v>190</v>
      </c>
      <c r="C515" s="371" t="s">
        <v>1139</v>
      </c>
      <c r="D515" s="431" t="s">
        <v>875</v>
      </c>
      <c r="E515" s="431" t="s">
        <v>1140</v>
      </c>
      <c r="F515" s="500" t="s">
        <v>199</v>
      </c>
      <c r="G515" s="500"/>
      <c r="H515" s="372" t="s">
        <v>227</v>
      </c>
      <c r="I515" s="373">
        <v>1</v>
      </c>
      <c r="J515" s="374">
        <v>46.69</v>
      </c>
      <c r="K515" s="374">
        <v>46.69</v>
      </c>
    </row>
    <row r="516" spans="2:11" ht="15" x14ac:dyDescent="0.25">
      <c r="B516" s="432"/>
      <c r="C516" s="432"/>
      <c r="D516" s="432"/>
      <c r="E516" s="432"/>
      <c r="F516" s="432"/>
      <c r="G516" s="375"/>
      <c r="H516" s="432"/>
      <c r="I516" s="375"/>
      <c r="J516" s="375"/>
      <c r="K516"/>
    </row>
    <row r="517" spans="2:11" ht="15.75" thickBot="1" x14ac:dyDescent="0.3">
      <c r="B517" s="432"/>
      <c r="C517" s="432"/>
      <c r="D517" s="432"/>
      <c r="E517" s="432"/>
      <c r="F517" s="432"/>
      <c r="G517" s="375"/>
      <c r="H517" s="432"/>
      <c r="I517" s="432"/>
      <c r="J517" s="375"/>
      <c r="K517"/>
    </row>
    <row r="518" spans="2:11" ht="13.5" thickTop="1" x14ac:dyDescent="0.25">
      <c r="B518" s="376"/>
      <c r="C518" s="376"/>
      <c r="D518" s="376"/>
      <c r="E518" s="376"/>
      <c r="F518" s="376"/>
      <c r="G518" s="376"/>
      <c r="H518" s="376"/>
      <c r="I518" s="376"/>
      <c r="J518" s="376"/>
      <c r="K518" s="376"/>
    </row>
    <row r="519" spans="2:11" ht="15" x14ac:dyDescent="0.25">
      <c r="B519" s="433" t="s">
        <v>1150</v>
      </c>
      <c r="C519" s="361" t="s">
        <v>0</v>
      </c>
      <c r="D519" s="433" t="s">
        <v>185</v>
      </c>
      <c r="E519" s="433" t="s">
        <v>83</v>
      </c>
      <c r="F519" s="498" t="s">
        <v>1</v>
      </c>
      <c r="G519" s="498"/>
      <c r="H519" s="362" t="s">
        <v>3</v>
      </c>
      <c r="I519" s="361" t="s">
        <v>186</v>
      </c>
      <c r="J519" s="361" t="s">
        <v>187</v>
      </c>
      <c r="K519" s="361" t="s">
        <v>4</v>
      </c>
    </row>
    <row r="520" spans="2:11" ht="25.5" x14ac:dyDescent="0.25">
      <c r="B520" s="434" t="s">
        <v>7</v>
      </c>
      <c r="C520" s="363" t="s">
        <v>935</v>
      </c>
      <c r="D520" s="434" t="s">
        <v>875</v>
      </c>
      <c r="E520" s="434" t="s">
        <v>936</v>
      </c>
      <c r="F520" s="499" t="s">
        <v>137</v>
      </c>
      <c r="G520" s="499"/>
      <c r="H520" s="364" t="s">
        <v>227</v>
      </c>
      <c r="I520" s="365">
        <v>1</v>
      </c>
      <c r="J520" s="366">
        <v>92.62</v>
      </c>
      <c r="K520" s="366">
        <v>92.62</v>
      </c>
    </row>
    <row r="521" spans="2:11" ht="38.25" x14ac:dyDescent="0.25">
      <c r="B521" s="430" t="s">
        <v>189</v>
      </c>
      <c r="C521" s="367" t="s">
        <v>1084</v>
      </c>
      <c r="D521" s="430" t="s">
        <v>875</v>
      </c>
      <c r="E521" s="430" t="s">
        <v>1085</v>
      </c>
      <c r="F521" s="497" t="s">
        <v>137</v>
      </c>
      <c r="G521" s="497"/>
      <c r="H521" s="368" t="s">
        <v>1086</v>
      </c>
      <c r="I521" s="369">
        <v>1</v>
      </c>
      <c r="J521" s="370">
        <v>20.440000000000001</v>
      </c>
      <c r="K521" s="370">
        <v>20.440000000000001</v>
      </c>
    </row>
    <row r="522" spans="2:11" ht="38.25" x14ac:dyDescent="0.25">
      <c r="B522" s="430" t="s">
        <v>189</v>
      </c>
      <c r="C522" s="367" t="s">
        <v>1087</v>
      </c>
      <c r="D522" s="430" t="s">
        <v>875</v>
      </c>
      <c r="E522" s="430" t="s">
        <v>221</v>
      </c>
      <c r="F522" s="497" t="s">
        <v>137</v>
      </c>
      <c r="G522" s="497"/>
      <c r="H522" s="368" t="s">
        <v>1086</v>
      </c>
      <c r="I522" s="369">
        <v>1</v>
      </c>
      <c r="J522" s="370">
        <v>25.49</v>
      </c>
      <c r="K522" s="370">
        <v>25.49</v>
      </c>
    </row>
    <row r="523" spans="2:11" ht="25.5" x14ac:dyDescent="0.25">
      <c r="B523" s="431" t="s">
        <v>190</v>
      </c>
      <c r="C523" s="371" t="s">
        <v>1139</v>
      </c>
      <c r="D523" s="431" t="s">
        <v>875</v>
      </c>
      <c r="E523" s="431" t="s">
        <v>1140</v>
      </c>
      <c r="F523" s="500" t="s">
        <v>199</v>
      </c>
      <c r="G523" s="500"/>
      <c r="H523" s="372" t="s">
        <v>227</v>
      </c>
      <c r="I523" s="373">
        <v>1</v>
      </c>
      <c r="J523" s="374">
        <v>46.69</v>
      </c>
      <c r="K523" s="374">
        <v>46.69</v>
      </c>
    </row>
    <row r="524" spans="2:11" ht="15" x14ac:dyDescent="0.25">
      <c r="B524" s="432"/>
      <c r="C524" s="432"/>
      <c r="D524" s="432"/>
      <c r="E524" s="432"/>
      <c r="F524" s="432"/>
      <c r="G524" s="375"/>
      <c r="H524" s="432"/>
      <c r="I524" s="375"/>
      <c r="J524" s="375"/>
      <c r="K524"/>
    </row>
    <row r="525" spans="2:11" ht="15.75" thickBot="1" x14ac:dyDescent="0.3">
      <c r="B525" s="432"/>
      <c r="C525" s="432"/>
      <c r="D525" s="432"/>
      <c r="E525" s="432"/>
      <c r="F525" s="432"/>
      <c r="G525" s="375"/>
      <c r="H525" s="432"/>
      <c r="I525" s="432"/>
      <c r="J525" s="375"/>
      <c r="K525"/>
    </row>
    <row r="526" spans="2:11" ht="13.5" thickTop="1" x14ac:dyDescent="0.25">
      <c r="B526" s="376"/>
      <c r="C526" s="376"/>
      <c r="D526" s="376"/>
      <c r="E526" s="376"/>
      <c r="F526" s="376"/>
      <c r="G526" s="376"/>
      <c r="H526" s="376"/>
      <c r="I526" s="376"/>
      <c r="J526" s="376"/>
      <c r="K526" s="376"/>
    </row>
    <row r="527" spans="2:11" ht="15" x14ac:dyDescent="0.25">
      <c r="B527" s="433" t="s">
        <v>1151</v>
      </c>
      <c r="C527" s="361" t="s">
        <v>0</v>
      </c>
      <c r="D527" s="433" t="s">
        <v>185</v>
      </c>
      <c r="E527" s="433" t="s">
        <v>83</v>
      </c>
      <c r="F527" s="498" t="s">
        <v>1</v>
      </c>
      <c r="G527" s="498"/>
      <c r="H527" s="362" t="s">
        <v>3</v>
      </c>
      <c r="I527" s="361" t="s">
        <v>186</v>
      </c>
      <c r="J527" s="361" t="s">
        <v>187</v>
      </c>
      <c r="K527" s="361" t="s">
        <v>4</v>
      </c>
    </row>
    <row r="528" spans="2:11" ht="25.5" x14ac:dyDescent="0.25">
      <c r="B528" s="434" t="s">
        <v>7</v>
      </c>
      <c r="C528" s="363" t="s">
        <v>937</v>
      </c>
      <c r="D528" s="434" t="s">
        <v>177</v>
      </c>
      <c r="E528" s="434" t="s">
        <v>938</v>
      </c>
      <c r="F528" s="499" t="s">
        <v>1152</v>
      </c>
      <c r="G528" s="499"/>
      <c r="H528" s="364" t="s">
        <v>227</v>
      </c>
      <c r="I528" s="365">
        <v>1</v>
      </c>
      <c r="J528" s="366">
        <v>216.66</v>
      </c>
      <c r="K528" s="366">
        <v>216.66</v>
      </c>
    </row>
    <row r="529" spans="2:11" ht="38.25" x14ac:dyDescent="0.25">
      <c r="B529" s="430" t="s">
        <v>189</v>
      </c>
      <c r="C529" s="367" t="s">
        <v>1123</v>
      </c>
      <c r="D529" s="430" t="s">
        <v>177</v>
      </c>
      <c r="E529" s="430" t="s">
        <v>1124</v>
      </c>
      <c r="F529" s="497" t="s">
        <v>1125</v>
      </c>
      <c r="G529" s="497"/>
      <c r="H529" s="368" t="s">
        <v>1126</v>
      </c>
      <c r="I529" s="369">
        <v>0.9</v>
      </c>
      <c r="J529" s="370">
        <v>3.63</v>
      </c>
      <c r="K529" s="370">
        <v>3.26</v>
      </c>
    </row>
    <row r="530" spans="2:11" ht="38.25" x14ac:dyDescent="0.25">
      <c r="B530" s="430" t="s">
        <v>189</v>
      </c>
      <c r="C530" s="367" t="s">
        <v>1153</v>
      </c>
      <c r="D530" s="430" t="s">
        <v>177</v>
      </c>
      <c r="E530" s="430" t="s">
        <v>1154</v>
      </c>
      <c r="F530" s="497" t="s">
        <v>1125</v>
      </c>
      <c r="G530" s="497"/>
      <c r="H530" s="368" t="s">
        <v>1126</v>
      </c>
      <c r="I530" s="369">
        <v>0.9</v>
      </c>
      <c r="J530" s="370">
        <v>3.51</v>
      </c>
      <c r="K530" s="370">
        <v>3.15</v>
      </c>
    </row>
    <row r="531" spans="2:11" x14ac:dyDescent="0.25">
      <c r="B531" s="431" t="s">
        <v>190</v>
      </c>
      <c r="C531" s="371" t="s">
        <v>1155</v>
      </c>
      <c r="D531" s="431" t="s">
        <v>177</v>
      </c>
      <c r="E531" s="431" t="s">
        <v>938</v>
      </c>
      <c r="F531" s="500" t="s">
        <v>199</v>
      </c>
      <c r="G531" s="500"/>
      <c r="H531" s="372" t="s">
        <v>227</v>
      </c>
      <c r="I531" s="373">
        <v>1</v>
      </c>
      <c r="J531" s="374">
        <v>185</v>
      </c>
      <c r="K531" s="374">
        <v>185</v>
      </c>
    </row>
    <row r="532" spans="2:11" ht="38.25" x14ac:dyDescent="0.25">
      <c r="B532" s="431" t="s">
        <v>190</v>
      </c>
      <c r="C532" s="371" t="s">
        <v>224</v>
      </c>
      <c r="D532" s="431" t="s">
        <v>31</v>
      </c>
      <c r="E532" s="431" t="s">
        <v>1156</v>
      </c>
      <c r="F532" s="500" t="s">
        <v>191</v>
      </c>
      <c r="G532" s="500"/>
      <c r="H532" s="372" t="s">
        <v>32</v>
      </c>
      <c r="I532" s="373">
        <v>0.9</v>
      </c>
      <c r="J532" s="374">
        <v>16.39</v>
      </c>
      <c r="K532" s="374">
        <v>14.75</v>
      </c>
    </row>
    <row r="533" spans="2:11" ht="38.25" x14ac:dyDescent="0.25">
      <c r="B533" s="431" t="s">
        <v>190</v>
      </c>
      <c r="C533" s="371" t="s">
        <v>175</v>
      </c>
      <c r="D533" s="431" t="s">
        <v>31</v>
      </c>
      <c r="E533" s="431" t="s">
        <v>47</v>
      </c>
      <c r="F533" s="500" t="s">
        <v>191</v>
      </c>
      <c r="G533" s="500"/>
      <c r="H533" s="372" t="s">
        <v>32</v>
      </c>
      <c r="I533" s="373">
        <v>0.9</v>
      </c>
      <c r="J533" s="374">
        <v>11.67</v>
      </c>
      <c r="K533" s="374">
        <v>10.5</v>
      </c>
    </row>
    <row r="534" spans="2:11" ht="15" x14ac:dyDescent="0.25">
      <c r="B534" s="432"/>
      <c r="C534" s="432"/>
      <c r="D534" s="432"/>
      <c r="E534" s="432"/>
      <c r="F534" s="432"/>
      <c r="G534" s="375"/>
      <c r="H534" s="432"/>
      <c r="I534" s="375"/>
      <c r="J534" s="375"/>
      <c r="K534"/>
    </row>
    <row r="535" spans="2:11" ht="15.75" thickBot="1" x14ac:dyDescent="0.3">
      <c r="B535" s="432"/>
      <c r="C535" s="432"/>
      <c r="D535" s="432"/>
      <c r="E535" s="432"/>
      <c r="F535" s="432"/>
      <c r="G535" s="375"/>
      <c r="H535" s="432"/>
      <c r="I535" s="432"/>
      <c r="J535" s="375"/>
      <c r="K535"/>
    </row>
    <row r="536" spans="2:11" ht="13.5" thickTop="1" x14ac:dyDescent="0.25">
      <c r="B536" s="376"/>
      <c r="C536" s="376"/>
      <c r="D536" s="376"/>
      <c r="E536" s="376"/>
      <c r="F536" s="376"/>
      <c r="G536" s="376"/>
      <c r="H536" s="376"/>
      <c r="I536" s="376"/>
      <c r="J536" s="376"/>
      <c r="K536" s="376"/>
    </row>
    <row r="537" spans="2:11" ht="15" x14ac:dyDescent="0.25">
      <c r="B537" s="433" t="s">
        <v>1157</v>
      </c>
      <c r="C537" s="361" t="s">
        <v>0</v>
      </c>
      <c r="D537" s="433" t="s">
        <v>185</v>
      </c>
      <c r="E537" s="433" t="s">
        <v>83</v>
      </c>
      <c r="F537" s="498" t="s">
        <v>1</v>
      </c>
      <c r="G537" s="498"/>
      <c r="H537" s="362" t="s">
        <v>3</v>
      </c>
      <c r="I537" s="361" t="s">
        <v>186</v>
      </c>
      <c r="J537" s="361" t="s">
        <v>187</v>
      </c>
      <c r="K537" s="361" t="s">
        <v>4</v>
      </c>
    </row>
    <row r="538" spans="2:11" ht="25.5" x14ac:dyDescent="0.25">
      <c r="B538" s="434" t="s">
        <v>7</v>
      </c>
      <c r="C538" s="363" t="s">
        <v>939</v>
      </c>
      <c r="D538" s="434" t="s">
        <v>875</v>
      </c>
      <c r="E538" s="434" t="s">
        <v>940</v>
      </c>
      <c r="F538" s="499" t="s">
        <v>137</v>
      </c>
      <c r="G538" s="499"/>
      <c r="H538" s="364" t="s">
        <v>227</v>
      </c>
      <c r="I538" s="365">
        <v>1</v>
      </c>
      <c r="J538" s="366">
        <v>115.38</v>
      </c>
      <c r="K538" s="366">
        <v>115.38</v>
      </c>
    </row>
    <row r="539" spans="2:11" ht="38.25" x14ac:dyDescent="0.25">
      <c r="B539" s="430" t="s">
        <v>189</v>
      </c>
      <c r="C539" s="367" t="s">
        <v>1084</v>
      </c>
      <c r="D539" s="430" t="s">
        <v>875</v>
      </c>
      <c r="E539" s="430" t="s">
        <v>1085</v>
      </c>
      <c r="F539" s="497" t="s">
        <v>137</v>
      </c>
      <c r="G539" s="497"/>
      <c r="H539" s="368" t="s">
        <v>1086</v>
      </c>
      <c r="I539" s="369">
        <v>1</v>
      </c>
      <c r="J539" s="370">
        <v>20.440000000000001</v>
      </c>
      <c r="K539" s="370">
        <v>20.440000000000001</v>
      </c>
    </row>
    <row r="540" spans="2:11" ht="38.25" x14ac:dyDescent="0.25">
      <c r="B540" s="430" t="s">
        <v>189</v>
      </c>
      <c r="C540" s="367" t="s">
        <v>1087</v>
      </c>
      <c r="D540" s="430" t="s">
        <v>875</v>
      </c>
      <c r="E540" s="430" t="s">
        <v>221</v>
      </c>
      <c r="F540" s="497" t="s">
        <v>137</v>
      </c>
      <c r="G540" s="497"/>
      <c r="H540" s="368" t="s">
        <v>1086</v>
      </c>
      <c r="I540" s="369">
        <v>1</v>
      </c>
      <c r="J540" s="370">
        <v>25.49</v>
      </c>
      <c r="K540" s="370">
        <v>25.49</v>
      </c>
    </row>
    <row r="541" spans="2:11" ht="25.5" x14ac:dyDescent="0.25">
      <c r="B541" s="431" t="s">
        <v>190</v>
      </c>
      <c r="C541" s="371" t="s">
        <v>1142</v>
      </c>
      <c r="D541" s="431" t="s">
        <v>875</v>
      </c>
      <c r="E541" s="431" t="s">
        <v>1143</v>
      </c>
      <c r="F541" s="500" t="s">
        <v>199</v>
      </c>
      <c r="G541" s="500"/>
      <c r="H541" s="372" t="s">
        <v>227</v>
      </c>
      <c r="I541" s="373">
        <v>1</v>
      </c>
      <c r="J541" s="374">
        <v>69.45</v>
      </c>
      <c r="K541" s="374">
        <v>69.45</v>
      </c>
    </row>
    <row r="542" spans="2:11" ht="15" x14ac:dyDescent="0.25">
      <c r="B542" s="432"/>
      <c r="C542" s="432"/>
      <c r="D542" s="432"/>
      <c r="E542" s="432"/>
      <c r="F542" s="432"/>
      <c r="G542" s="375"/>
      <c r="H542" s="432"/>
      <c r="I542" s="375"/>
      <c r="J542" s="375"/>
      <c r="K542"/>
    </row>
    <row r="543" spans="2:11" ht="15.75" thickBot="1" x14ac:dyDescent="0.3">
      <c r="B543" s="432"/>
      <c r="C543" s="432"/>
      <c r="D543" s="432"/>
      <c r="E543" s="432"/>
      <c r="F543" s="432"/>
      <c r="G543" s="375"/>
      <c r="H543" s="432"/>
      <c r="I543" s="432"/>
      <c r="J543" s="375"/>
      <c r="K543"/>
    </row>
    <row r="544" spans="2:11" ht="13.5" thickTop="1" x14ac:dyDescent="0.25">
      <c r="B544" s="376"/>
      <c r="C544" s="376"/>
      <c r="D544" s="376"/>
      <c r="E544" s="376"/>
      <c r="F544" s="376"/>
      <c r="G544" s="376"/>
      <c r="H544" s="376"/>
      <c r="I544" s="376"/>
      <c r="J544" s="376"/>
      <c r="K544" s="376"/>
    </row>
    <row r="545" spans="2:11" ht="15" x14ac:dyDescent="0.25">
      <c r="B545" s="433" t="s">
        <v>1158</v>
      </c>
      <c r="C545" s="361" t="s">
        <v>0</v>
      </c>
      <c r="D545" s="433" t="s">
        <v>185</v>
      </c>
      <c r="E545" s="433" t="s">
        <v>83</v>
      </c>
      <c r="F545" s="498" t="s">
        <v>1</v>
      </c>
      <c r="G545" s="498"/>
      <c r="H545" s="362" t="s">
        <v>3</v>
      </c>
      <c r="I545" s="361" t="s">
        <v>186</v>
      </c>
      <c r="J545" s="361" t="s">
        <v>187</v>
      </c>
      <c r="K545" s="361" t="s">
        <v>4</v>
      </c>
    </row>
    <row r="546" spans="2:11" ht="25.5" x14ac:dyDescent="0.25">
      <c r="B546" s="434" t="s">
        <v>7</v>
      </c>
      <c r="C546" s="363" t="s">
        <v>759</v>
      </c>
      <c r="D546" s="434" t="s">
        <v>214</v>
      </c>
      <c r="E546" s="434" t="s">
        <v>760</v>
      </c>
      <c r="F546" s="499" t="s">
        <v>1308</v>
      </c>
      <c r="G546" s="499"/>
      <c r="H546" s="364" t="s">
        <v>22</v>
      </c>
      <c r="I546" s="365">
        <v>1</v>
      </c>
      <c r="J546" s="366">
        <v>203.73</v>
      </c>
      <c r="K546" s="366">
        <v>203.73</v>
      </c>
    </row>
    <row r="547" spans="2:11" ht="38.25" x14ac:dyDescent="0.25">
      <c r="B547" s="430" t="s">
        <v>189</v>
      </c>
      <c r="C547" s="367" t="s">
        <v>218</v>
      </c>
      <c r="D547" s="430" t="s">
        <v>31</v>
      </c>
      <c r="E547" s="430" t="s">
        <v>219</v>
      </c>
      <c r="F547" s="497" t="s">
        <v>188</v>
      </c>
      <c r="G547" s="497"/>
      <c r="H547" s="368" t="s">
        <v>32</v>
      </c>
      <c r="I547" s="369">
        <v>0.41199999999999998</v>
      </c>
      <c r="J547" s="370">
        <v>18.48</v>
      </c>
      <c r="K547" s="370">
        <v>7.61</v>
      </c>
    </row>
    <row r="548" spans="2:11" ht="38.25" x14ac:dyDescent="0.25">
      <c r="B548" s="430" t="s">
        <v>189</v>
      </c>
      <c r="C548" s="367" t="s">
        <v>220</v>
      </c>
      <c r="D548" s="430" t="s">
        <v>31</v>
      </c>
      <c r="E548" s="430" t="s">
        <v>221</v>
      </c>
      <c r="F548" s="497" t="s">
        <v>188</v>
      </c>
      <c r="G548" s="497"/>
      <c r="H548" s="368" t="s">
        <v>32</v>
      </c>
      <c r="I548" s="369">
        <v>0.41199999999999998</v>
      </c>
      <c r="J548" s="370">
        <v>22.58</v>
      </c>
      <c r="K548" s="370">
        <v>9.3000000000000007</v>
      </c>
    </row>
    <row r="549" spans="2:11" x14ac:dyDescent="0.25">
      <c r="B549" s="431" t="s">
        <v>190</v>
      </c>
      <c r="C549" s="371" t="s">
        <v>821</v>
      </c>
      <c r="D549" s="431" t="s">
        <v>214</v>
      </c>
      <c r="E549" s="431" t="s">
        <v>822</v>
      </c>
      <c r="F549" s="500" t="s">
        <v>199</v>
      </c>
      <c r="G549" s="500"/>
      <c r="H549" s="372" t="s">
        <v>22</v>
      </c>
      <c r="I549" s="373">
        <v>1</v>
      </c>
      <c r="J549" s="374">
        <v>186.82</v>
      </c>
      <c r="K549" s="374">
        <v>186.82</v>
      </c>
    </row>
    <row r="550" spans="2:11" ht="15" x14ac:dyDescent="0.25">
      <c r="B550" s="432"/>
      <c r="C550" s="432"/>
      <c r="D550" s="432"/>
      <c r="E550" s="432"/>
      <c r="F550" s="432"/>
      <c r="G550" s="375"/>
      <c r="H550" s="432"/>
      <c r="I550" s="375"/>
      <c r="J550" s="375"/>
      <c r="K550"/>
    </row>
    <row r="551" spans="2:11" ht="15.75" thickBot="1" x14ac:dyDescent="0.3">
      <c r="B551" s="432"/>
      <c r="C551" s="432"/>
      <c r="D551" s="432"/>
      <c r="E551" s="432"/>
      <c r="F551" s="432"/>
      <c r="G551" s="375"/>
      <c r="H551" s="432"/>
      <c r="I551" s="432"/>
      <c r="J551" s="375"/>
      <c r="K551"/>
    </row>
    <row r="552" spans="2:11" ht="13.5" thickTop="1" x14ac:dyDescent="0.25">
      <c r="B552" s="376"/>
      <c r="C552" s="376"/>
      <c r="D552" s="376"/>
      <c r="E552" s="376"/>
      <c r="F552" s="376"/>
      <c r="G552" s="376"/>
      <c r="H552" s="376"/>
      <c r="I552" s="376"/>
      <c r="J552" s="376"/>
      <c r="K552" s="376"/>
    </row>
    <row r="553" spans="2:11" ht="15" x14ac:dyDescent="0.25">
      <c r="B553" s="433" t="s">
        <v>1159</v>
      </c>
      <c r="C553" s="361" t="s">
        <v>0</v>
      </c>
      <c r="D553" s="433" t="s">
        <v>185</v>
      </c>
      <c r="E553" s="433" t="s">
        <v>83</v>
      </c>
      <c r="F553" s="498" t="s">
        <v>1</v>
      </c>
      <c r="G553" s="498"/>
      <c r="H553" s="362" t="s">
        <v>3</v>
      </c>
      <c r="I553" s="361" t="s">
        <v>186</v>
      </c>
      <c r="J553" s="361" t="s">
        <v>187</v>
      </c>
      <c r="K553" s="361" t="s">
        <v>4</v>
      </c>
    </row>
    <row r="554" spans="2:11" ht="38.25" x14ac:dyDescent="0.25">
      <c r="B554" s="434" t="s">
        <v>7</v>
      </c>
      <c r="C554" s="363" t="s">
        <v>941</v>
      </c>
      <c r="D554" s="434" t="s">
        <v>267</v>
      </c>
      <c r="E554" s="434" t="s">
        <v>942</v>
      </c>
      <c r="F554" s="499">
        <v>37.130000000000003</v>
      </c>
      <c r="G554" s="499"/>
      <c r="H554" s="364" t="s">
        <v>22</v>
      </c>
      <c r="I554" s="365">
        <v>1</v>
      </c>
      <c r="J554" s="366">
        <v>29.9</v>
      </c>
      <c r="K554" s="366">
        <v>29.9</v>
      </c>
    </row>
    <row r="555" spans="2:11" ht="38.25" x14ac:dyDescent="0.25">
      <c r="B555" s="431" t="s">
        <v>190</v>
      </c>
      <c r="C555" s="371" t="s">
        <v>1160</v>
      </c>
      <c r="D555" s="431" t="s">
        <v>267</v>
      </c>
      <c r="E555" s="431" t="s">
        <v>1161</v>
      </c>
      <c r="F555" s="500" t="s">
        <v>191</v>
      </c>
      <c r="G555" s="500"/>
      <c r="H555" s="372" t="s">
        <v>32</v>
      </c>
      <c r="I555" s="373">
        <v>0.3</v>
      </c>
      <c r="J555" s="374">
        <v>25.22</v>
      </c>
      <c r="K555" s="374">
        <v>7.56</v>
      </c>
    </row>
    <row r="556" spans="2:11" ht="38.25" x14ac:dyDescent="0.25">
      <c r="B556" s="431" t="s">
        <v>190</v>
      </c>
      <c r="C556" s="371" t="s">
        <v>1162</v>
      </c>
      <c r="D556" s="431" t="s">
        <v>267</v>
      </c>
      <c r="E556" s="431" t="s">
        <v>1163</v>
      </c>
      <c r="F556" s="500" t="s">
        <v>191</v>
      </c>
      <c r="G556" s="500"/>
      <c r="H556" s="372" t="s">
        <v>32</v>
      </c>
      <c r="I556" s="373">
        <v>0.3</v>
      </c>
      <c r="J556" s="374">
        <v>16.739999999999998</v>
      </c>
      <c r="K556" s="374">
        <v>5.0199999999999996</v>
      </c>
    </row>
    <row r="557" spans="2:11" ht="38.25" x14ac:dyDescent="0.25">
      <c r="B557" s="431" t="s">
        <v>190</v>
      </c>
      <c r="C557" s="371" t="s">
        <v>1164</v>
      </c>
      <c r="D557" s="431" t="s">
        <v>267</v>
      </c>
      <c r="E557" s="431" t="s">
        <v>1165</v>
      </c>
      <c r="F557" s="500" t="s">
        <v>199</v>
      </c>
      <c r="G557" s="500"/>
      <c r="H557" s="372" t="s">
        <v>22</v>
      </c>
      <c r="I557" s="373">
        <v>1</v>
      </c>
      <c r="J557" s="374">
        <v>17.32</v>
      </c>
      <c r="K557" s="374">
        <v>17.32</v>
      </c>
    </row>
    <row r="558" spans="2:11" ht="15" x14ac:dyDescent="0.25">
      <c r="B558" s="432"/>
      <c r="C558" s="432"/>
      <c r="D558" s="432"/>
      <c r="E558" s="432"/>
      <c r="F558" s="432"/>
      <c r="G558" s="375"/>
      <c r="H558" s="432"/>
      <c r="I558" s="375"/>
      <c r="J558" s="375"/>
      <c r="K558"/>
    </row>
    <row r="559" spans="2:11" ht="15.75" thickBot="1" x14ac:dyDescent="0.3">
      <c r="B559" s="432"/>
      <c r="C559" s="432"/>
      <c r="D559" s="432"/>
      <c r="E559" s="432"/>
      <c r="F559" s="432"/>
      <c r="G559" s="375"/>
      <c r="H559" s="432"/>
      <c r="I559" s="432"/>
      <c r="J559" s="375"/>
      <c r="K559"/>
    </row>
    <row r="560" spans="2:11" ht="13.5" thickTop="1" x14ac:dyDescent="0.25">
      <c r="B560" s="376"/>
      <c r="C560" s="376"/>
      <c r="D560" s="376"/>
      <c r="E560" s="376"/>
      <c r="F560" s="376"/>
      <c r="G560" s="376"/>
      <c r="H560" s="376"/>
      <c r="I560" s="376"/>
      <c r="J560" s="376"/>
      <c r="K560" s="376"/>
    </row>
    <row r="561" spans="2:11" ht="15" x14ac:dyDescent="0.25">
      <c r="B561" s="433" t="s">
        <v>1166</v>
      </c>
      <c r="C561" s="361" t="s">
        <v>0</v>
      </c>
      <c r="D561" s="433" t="s">
        <v>185</v>
      </c>
      <c r="E561" s="433" t="s">
        <v>83</v>
      </c>
      <c r="F561" s="498" t="s">
        <v>1</v>
      </c>
      <c r="G561" s="498"/>
      <c r="H561" s="362" t="s">
        <v>3</v>
      </c>
      <c r="I561" s="361" t="s">
        <v>186</v>
      </c>
      <c r="J561" s="361" t="s">
        <v>187</v>
      </c>
      <c r="K561" s="361" t="s">
        <v>4</v>
      </c>
    </row>
    <row r="562" spans="2:11" ht="25.5" x14ac:dyDescent="0.25">
      <c r="B562" s="434" t="s">
        <v>7</v>
      </c>
      <c r="C562" s="363" t="s">
        <v>943</v>
      </c>
      <c r="D562" s="434" t="s">
        <v>875</v>
      </c>
      <c r="E562" s="434" t="s">
        <v>944</v>
      </c>
      <c r="F562" s="499" t="s">
        <v>137</v>
      </c>
      <c r="G562" s="499"/>
      <c r="H562" s="364" t="s">
        <v>227</v>
      </c>
      <c r="I562" s="365">
        <v>1</v>
      </c>
      <c r="J562" s="366">
        <v>91.33</v>
      </c>
      <c r="K562" s="366">
        <v>91.33</v>
      </c>
    </row>
    <row r="563" spans="2:11" ht="38.25" x14ac:dyDescent="0.25">
      <c r="B563" s="430" t="s">
        <v>189</v>
      </c>
      <c r="C563" s="367" t="s">
        <v>1084</v>
      </c>
      <c r="D563" s="430" t="s">
        <v>875</v>
      </c>
      <c r="E563" s="430" t="s">
        <v>1085</v>
      </c>
      <c r="F563" s="497" t="s">
        <v>137</v>
      </c>
      <c r="G563" s="497"/>
      <c r="H563" s="368" t="s">
        <v>1086</v>
      </c>
      <c r="I563" s="369">
        <v>1</v>
      </c>
      <c r="J563" s="370">
        <v>20.440000000000001</v>
      </c>
      <c r="K563" s="370">
        <v>20.440000000000001</v>
      </c>
    </row>
    <row r="564" spans="2:11" ht="38.25" x14ac:dyDescent="0.25">
      <c r="B564" s="430" t="s">
        <v>189</v>
      </c>
      <c r="C564" s="367" t="s">
        <v>1087</v>
      </c>
      <c r="D564" s="430" t="s">
        <v>875</v>
      </c>
      <c r="E564" s="430" t="s">
        <v>221</v>
      </c>
      <c r="F564" s="497" t="s">
        <v>137</v>
      </c>
      <c r="G564" s="497"/>
      <c r="H564" s="368" t="s">
        <v>1086</v>
      </c>
      <c r="I564" s="369">
        <v>1</v>
      </c>
      <c r="J564" s="370">
        <v>25.49</v>
      </c>
      <c r="K564" s="370">
        <v>25.49</v>
      </c>
    </row>
    <row r="565" spans="2:11" ht="25.5" x14ac:dyDescent="0.25">
      <c r="B565" s="431" t="s">
        <v>190</v>
      </c>
      <c r="C565" s="371" t="s">
        <v>1167</v>
      </c>
      <c r="D565" s="431" t="s">
        <v>875</v>
      </c>
      <c r="E565" s="431" t="s">
        <v>1168</v>
      </c>
      <c r="F565" s="500" t="s">
        <v>199</v>
      </c>
      <c r="G565" s="500"/>
      <c r="H565" s="372" t="s">
        <v>227</v>
      </c>
      <c r="I565" s="373">
        <v>1</v>
      </c>
      <c r="J565" s="374">
        <v>45.4</v>
      </c>
      <c r="K565" s="374">
        <v>45.4</v>
      </c>
    </row>
    <row r="566" spans="2:11" ht="15" x14ac:dyDescent="0.25">
      <c r="B566" s="432"/>
      <c r="C566" s="432"/>
      <c r="D566" s="432"/>
      <c r="E566" s="432"/>
      <c r="F566" s="432"/>
      <c r="G566" s="375"/>
      <c r="H566" s="432"/>
      <c r="I566" s="375"/>
      <c r="J566" s="375"/>
      <c r="K566"/>
    </row>
    <row r="567" spans="2:11" ht="15.75" thickBot="1" x14ac:dyDescent="0.3">
      <c r="B567" s="432"/>
      <c r="C567" s="432"/>
      <c r="D567" s="432"/>
      <c r="E567" s="432"/>
      <c r="F567" s="432"/>
      <c r="G567" s="375"/>
      <c r="H567" s="432"/>
      <c r="I567" s="432"/>
      <c r="J567" s="375"/>
      <c r="K567"/>
    </row>
    <row r="568" spans="2:11" ht="13.5" thickTop="1" x14ac:dyDescent="0.25">
      <c r="B568" s="376"/>
      <c r="C568" s="376"/>
      <c r="D568" s="376"/>
      <c r="E568" s="376"/>
      <c r="F568" s="376"/>
      <c r="G568" s="376"/>
      <c r="H568" s="376"/>
      <c r="I568" s="376"/>
      <c r="J568" s="376"/>
      <c r="K568" s="376"/>
    </row>
    <row r="569" spans="2:11" ht="15" x14ac:dyDescent="0.25">
      <c r="B569" s="433" t="s">
        <v>1169</v>
      </c>
      <c r="C569" s="361" t="s">
        <v>0</v>
      </c>
      <c r="D569" s="433" t="s">
        <v>185</v>
      </c>
      <c r="E569" s="433" t="s">
        <v>83</v>
      </c>
      <c r="F569" s="498" t="s">
        <v>1</v>
      </c>
      <c r="G569" s="498"/>
      <c r="H569" s="362" t="s">
        <v>3</v>
      </c>
      <c r="I569" s="361" t="s">
        <v>186</v>
      </c>
      <c r="J569" s="361" t="s">
        <v>187</v>
      </c>
      <c r="K569" s="361" t="s">
        <v>4</v>
      </c>
    </row>
    <row r="570" spans="2:11" ht="25.5" x14ac:dyDescent="0.25">
      <c r="B570" s="434" t="s">
        <v>7</v>
      </c>
      <c r="C570" s="363" t="s">
        <v>945</v>
      </c>
      <c r="D570" s="434" t="s">
        <v>31</v>
      </c>
      <c r="E570" s="434" t="s">
        <v>946</v>
      </c>
      <c r="F570" s="499" t="s">
        <v>217</v>
      </c>
      <c r="G570" s="499"/>
      <c r="H570" s="364" t="s">
        <v>22</v>
      </c>
      <c r="I570" s="365">
        <v>1</v>
      </c>
      <c r="J570" s="366">
        <v>4858.04</v>
      </c>
      <c r="K570" s="366">
        <v>4858.04</v>
      </c>
    </row>
    <row r="571" spans="2:11" ht="38.25" x14ac:dyDescent="0.25">
      <c r="B571" s="430" t="s">
        <v>189</v>
      </c>
      <c r="C571" s="367" t="s">
        <v>218</v>
      </c>
      <c r="D571" s="430" t="s">
        <v>31</v>
      </c>
      <c r="E571" s="430" t="s">
        <v>219</v>
      </c>
      <c r="F571" s="497" t="s">
        <v>188</v>
      </c>
      <c r="G571" s="497"/>
      <c r="H571" s="368" t="s">
        <v>32</v>
      </c>
      <c r="I571" s="369">
        <v>1.3231999999999999</v>
      </c>
      <c r="J571" s="370">
        <v>18.48</v>
      </c>
      <c r="K571" s="370">
        <v>24.45</v>
      </c>
    </row>
    <row r="572" spans="2:11" ht="38.25" x14ac:dyDescent="0.25">
      <c r="B572" s="430" t="s">
        <v>189</v>
      </c>
      <c r="C572" s="367" t="s">
        <v>220</v>
      </c>
      <c r="D572" s="430" t="s">
        <v>31</v>
      </c>
      <c r="E572" s="430" t="s">
        <v>221</v>
      </c>
      <c r="F572" s="497" t="s">
        <v>188</v>
      </c>
      <c r="G572" s="497"/>
      <c r="H572" s="368" t="s">
        <v>32</v>
      </c>
      <c r="I572" s="369">
        <v>1.3231999999999999</v>
      </c>
      <c r="J572" s="370">
        <v>22.58</v>
      </c>
      <c r="K572" s="370">
        <v>29.87</v>
      </c>
    </row>
    <row r="573" spans="2:11" ht="38.25" x14ac:dyDescent="0.25">
      <c r="B573" s="431" t="s">
        <v>190</v>
      </c>
      <c r="C573" s="371" t="s">
        <v>1170</v>
      </c>
      <c r="D573" s="431" t="s">
        <v>31</v>
      </c>
      <c r="E573" s="431" t="s">
        <v>1171</v>
      </c>
      <c r="F573" s="500" t="s">
        <v>199</v>
      </c>
      <c r="G573" s="500"/>
      <c r="H573" s="372" t="s">
        <v>22</v>
      </c>
      <c r="I573" s="373">
        <v>1</v>
      </c>
      <c r="J573" s="374">
        <v>4767.6000000000004</v>
      </c>
      <c r="K573" s="374">
        <v>4767.6000000000004</v>
      </c>
    </row>
    <row r="574" spans="2:11" ht="38.25" x14ac:dyDescent="0.25">
      <c r="B574" s="431" t="s">
        <v>190</v>
      </c>
      <c r="C574" s="371" t="s">
        <v>1172</v>
      </c>
      <c r="D574" s="431" t="s">
        <v>31</v>
      </c>
      <c r="E574" s="431" t="s">
        <v>1173</v>
      </c>
      <c r="F574" s="500" t="s">
        <v>199</v>
      </c>
      <c r="G574" s="500"/>
      <c r="H574" s="372" t="s">
        <v>22</v>
      </c>
      <c r="I574" s="373">
        <v>3</v>
      </c>
      <c r="J574" s="374">
        <v>12.04</v>
      </c>
      <c r="K574" s="374">
        <v>36.119999999999997</v>
      </c>
    </row>
    <row r="575" spans="2:11" ht="15" x14ac:dyDescent="0.25">
      <c r="B575" s="432"/>
      <c r="C575" s="432"/>
      <c r="D575" s="432"/>
      <c r="E575" s="432"/>
      <c r="F575" s="432"/>
      <c r="G575" s="375"/>
      <c r="H575" s="432"/>
      <c r="I575" s="375"/>
      <c r="J575" s="375"/>
      <c r="K575"/>
    </row>
    <row r="576" spans="2:11" ht="15.75" thickBot="1" x14ac:dyDescent="0.3">
      <c r="B576" s="432"/>
      <c r="C576" s="432"/>
      <c r="D576" s="432"/>
      <c r="E576" s="432"/>
      <c r="F576" s="432"/>
      <c r="G576" s="375"/>
      <c r="H576" s="432"/>
      <c r="I576" s="432"/>
      <c r="J576" s="375"/>
      <c r="K576"/>
    </row>
    <row r="577" spans="2:11" ht="13.5" thickTop="1" x14ac:dyDescent="0.25">
      <c r="B577" s="376"/>
      <c r="C577" s="376"/>
      <c r="D577" s="376"/>
      <c r="E577" s="376"/>
      <c r="F577" s="376"/>
      <c r="G577" s="376"/>
      <c r="H577" s="376"/>
      <c r="I577" s="376"/>
      <c r="J577" s="376"/>
      <c r="K577" s="376"/>
    </row>
    <row r="578" spans="2:11" ht="15" x14ac:dyDescent="0.25">
      <c r="B578" s="433" t="s">
        <v>1174</v>
      </c>
      <c r="C578" s="361" t="s">
        <v>0</v>
      </c>
      <c r="D578" s="433" t="s">
        <v>185</v>
      </c>
      <c r="E578" s="433" t="s">
        <v>83</v>
      </c>
      <c r="F578" s="498" t="s">
        <v>1</v>
      </c>
      <c r="G578" s="498"/>
      <c r="H578" s="362" t="s">
        <v>3</v>
      </c>
      <c r="I578" s="361" t="s">
        <v>186</v>
      </c>
      <c r="J578" s="361" t="s">
        <v>187</v>
      </c>
      <c r="K578" s="361" t="s">
        <v>4</v>
      </c>
    </row>
    <row r="579" spans="2:11" ht="25.5" x14ac:dyDescent="0.25">
      <c r="B579" s="434" t="s">
        <v>7</v>
      </c>
      <c r="C579" s="363" t="s">
        <v>947</v>
      </c>
      <c r="D579" s="434" t="s">
        <v>125</v>
      </c>
      <c r="E579" s="434" t="s">
        <v>948</v>
      </c>
      <c r="F579" s="499" t="s">
        <v>217</v>
      </c>
      <c r="G579" s="499"/>
      <c r="H579" s="364" t="s">
        <v>22</v>
      </c>
      <c r="I579" s="365">
        <v>1</v>
      </c>
      <c r="J579" s="366">
        <v>153.54</v>
      </c>
      <c r="K579" s="366">
        <v>153.54</v>
      </c>
    </row>
    <row r="580" spans="2:11" ht="38.25" x14ac:dyDescent="0.25">
      <c r="B580" s="430" t="s">
        <v>189</v>
      </c>
      <c r="C580" s="367" t="s">
        <v>218</v>
      </c>
      <c r="D580" s="430" t="s">
        <v>31</v>
      </c>
      <c r="E580" s="430" t="s">
        <v>219</v>
      </c>
      <c r="F580" s="497" t="s">
        <v>188</v>
      </c>
      <c r="G580" s="497"/>
      <c r="H580" s="368" t="s">
        <v>32</v>
      </c>
      <c r="I580" s="369">
        <v>7.0000000000000007E-2</v>
      </c>
      <c r="J580" s="370">
        <v>18.48</v>
      </c>
      <c r="K580" s="370">
        <v>1.29</v>
      </c>
    </row>
    <row r="581" spans="2:11" ht="38.25" x14ac:dyDescent="0.25">
      <c r="B581" s="430" t="s">
        <v>189</v>
      </c>
      <c r="C581" s="367" t="s">
        <v>220</v>
      </c>
      <c r="D581" s="430" t="s">
        <v>31</v>
      </c>
      <c r="E581" s="430" t="s">
        <v>221</v>
      </c>
      <c r="F581" s="497" t="s">
        <v>188</v>
      </c>
      <c r="G581" s="497"/>
      <c r="H581" s="368" t="s">
        <v>32</v>
      </c>
      <c r="I581" s="369">
        <v>7.0000000000000007E-2</v>
      </c>
      <c r="J581" s="370">
        <v>22.58</v>
      </c>
      <c r="K581" s="370">
        <v>1.58</v>
      </c>
    </row>
    <row r="582" spans="2:11" ht="38.25" x14ac:dyDescent="0.25">
      <c r="B582" s="431" t="s">
        <v>190</v>
      </c>
      <c r="C582" s="371" t="s">
        <v>331</v>
      </c>
      <c r="D582" s="431" t="s">
        <v>31</v>
      </c>
      <c r="E582" s="431" t="s">
        <v>332</v>
      </c>
      <c r="F582" s="500" t="s">
        <v>199</v>
      </c>
      <c r="G582" s="500"/>
      <c r="H582" s="372" t="s">
        <v>22</v>
      </c>
      <c r="I582" s="373">
        <v>2</v>
      </c>
      <c r="J582" s="374">
        <v>1.03</v>
      </c>
      <c r="K582" s="374">
        <v>2.06</v>
      </c>
    </row>
    <row r="583" spans="2:11" ht="38.25" x14ac:dyDescent="0.25">
      <c r="B583" s="431" t="s">
        <v>190</v>
      </c>
      <c r="C583" s="371" t="s">
        <v>1175</v>
      </c>
      <c r="D583" s="431" t="s">
        <v>31</v>
      </c>
      <c r="E583" s="431" t="s">
        <v>1176</v>
      </c>
      <c r="F583" s="500" t="s">
        <v>199</v>
      </c>
      <c r="G583" s="500"/>
      <c r="H583" s="372" t="s">
        <v>22</v>
      </c>
      <c r="I583" s="373">
        <v>1</v>
      </c>
      <c r="J583" s="374">
        <v>148.61000000000001</v>
      </c>
      <c r="K583" s="374">
        <v>148.61000000000001</v>
      </c>
    </row>
    <row r="584" spans="2:11" ht="15" x14ac:dyDescent="0.25">
      <c r="B584" s="432"/>
      <c r="C584" s="432"/>
      <c r="D584" s="432"/>
      <c r="E584" s="432"/>
      <c r="F584" s="432"/>
      <c r="G584" s="375"/>
      <c r="H584" s="432"/>
      <c r="I584" s="375"/>
      <c r="J584" s="375"/>
      <c r="K584"/>
    </row>
    <row r="585" spans="2:11" ht="15.75" thickBot="1" x14ac:dyDescent="0.3">
      <c r="B585" s="432"/>
      <c r="C585" s="432"/>
      <c r="D585" s="432"/>
      <c r="E585" s="432"/>
      <c r="F585" s="432"/>
      <c r="G585" s="375"/>
      <c r="H585" s="432"/>
      <c r="I585" s="432"/>
      <c r="J585" s="375"/>
      <c r="K585"/>
    </row>
    <row r="586" spans="2:11" ht="13.5" thickTop="1" x14ac:dyDescent="0.25">
      <c r="B586" s="376"/>
      <c r="C586" s="376"/>
      <c r="D586" s="376"/>
      <c r="E586" s="376"/>
      <c r="F586" s="376"/>
      <c r="G586" s="376"/>
      <c r="H586" s="376"/>
      <c r="I586" s="376"/>
      <c r="J586" s="376"/>
      <c r="K586" s="376"/>
    </row>
    <row r="587" spans="2:11" ht="15" x14ac:dyDescent="0.25">
      <c r="B587" s="433" t="s">
        <v>1177</v>
      </c>
      <c r="C587" s="361" t="s">
        <v>0</v>
      </c>
      <c r="D587" s="433" t="s">
        <v>185</v>
      </c>
      <c r="E587" s="433" t="s">
        <v>83</v>
      </c>
      <c r="F587" s="498" t="s">
        <v>1</v>
      </c>
      <c r="G587" s="498"/>
      <c r="H587" s="362" t="s">
        <v>3</v>
      </c>
      <c r="I587" s="361" t="s">
        <v>186</v>
      </c>
      <c r="J587" s="361" t="s">
        <v>187</v>
      </c>
      <c r="K587" s="361" t="s">
        <v>4</v>
      </c>
    </row>
    <row r="588" spans="2:11" ht="25.5" x14ac:dyDescent="0.25">
      <c r="B588" s="434" t="s">
        <v>7</v>
      </c>
      <c r="C588" s="363" t="s">
        <v>949</v>
      </c>
      <c r="D588" s="434" t="s">
        <v>905</v>
      </c>
      <c r="E588" s="434" t="s">
        <v>950</v>
      </c>
      <c r="F588" s="499">
        <v>7</v>
      </c>
      <c r="G588" s="499"/>
      <c r="H588" s="364" t="s">
        <v>847</v>
      </c>
      <c r="I588" s="365">
        <v>1</v>
      </c>
      <c r="J588" s="366">
        <v>147.85</v>
      </c>
      <c r="K588" s="366">
        <v>147.85</v>
      </c>
    </row>
    <row r="589" spans="2:11" ht="25.5" x14ac:dyDescent="0.25">
      <c r="B589" s="431" t="s">
        <v>190</v>
      </c>
      <c r="C589" s="371" t="s">
        <v>1178</v>
      </c>
      <c r="D589" s="431" t="s">
        <v>905</v>
      </c>
      <c r="E589" s="431" t="s">
        <v>1179</v>
      </c>
      <c r="F589" s="500" t="s">
        <v>199</v>
      </c>
      <c r="G589" s="500"/>
      <c r="H589" s="372" t="s">
        <v>227</v>
      </c>
      <c r="I589" s="373">
        <v>1</v>
      </c>
      <c r="J589" s="374">
        <v>117.03</v>
      </c>
      <c r="K589" s="374">
        <v>117.03</v>
      </c>
    </row>
    <row r="590" spans="2:11" ht="25.5" x14ac:dyDescent="0.25">
      <c r="B590" s="431" t="s">
        <v>190</v>
      </c>
      <c r="C590" s="371" t="s">
        <v>1134</v>
      </c>
      <c r="D590" s="431" t="s">
        <v>905</v>
      </c>
      <c r="E590" s="431" t="s">
        <v>1135</v>
      </c>
      <c r="F590" s="500" t="s">
        <v>191</v>
      </c>
      <c r="G590" s="500"/>
      <c r="H590" s="372" t="s">
        <v>1126</v>
      </c>
      <c r="I590" s="373">
        <v>1</v>
      </c>
      <c r="J590" s="374">
        <v>12.31</v>
      </c>
      <c r="K590" s="374">
        <v>12.31</v>
      </c>
    </row>
    <row r="591" spans="2:11" ht="25.5" x14ac:dyDescent="0.25">
      <c r="B591" s="431" t="s">
        <v>190</v>
      </c>
      <c r="C591" s="371" t="s">
        <v>1136</v>
      </c>
      <c r="D591" s="431" t="s">
        <v>905</v>
      </c>
      <c r="E591" s="431" t="s">
        <v>225</v>
      </c>
      <c r="F591" s="500" t="s">
        <v>191</v>
      </c>
      <c r="G591" s="500"/>
      <c r="H591" s="372" t="s">
        <v>1126</v>
      </c>
      <c r="I591" s="373">
        <v>1</v>
      </c>
      <c r="J591" s="374">
        <v>18.510000000000002</v>
      </c>
      <c r="K591" s="374">
        <v>18.510000000000002</v>
      </c>
    </row>
    <row r="592" spans="2:11" ht="15" x14ac:dyDescent="0.25">
      <c r="B592" s="432"/>
      <c r="C592" s="432"/>
      <c r="D592" s="432"/>
      <c r="E592" s="432"/>
      <c r="F592" s="432"/>
      <c r="G592" s="375"/>
      <c r="H592" s="432"/>
      <c r="I592" s="375"/>
      <c r="J592" s="375"/>
      <c r="K592"/>
    </row>
    <row r="593" spans="2:11" ht="15.75" thickBot="1" x14ac:dyDescent="0.3">
      <c r="B593" s="432"/>
      <c r="C593" s="432"/>
      <c r="D593" s="432"/>
      <c r="E593" s="432"/>
      <c r="F593" s="432"/>
      <c r="G593" s="375"/>
      <c r="H593" s="432"/>
      <c r="I593" s="432"/>
      <c r="J593" s="375"/>
      <c r="K593"/>
    </row>
    <row r="594" spans="2:11" s="304" customFormat="1" ht="13.5" thickTop="1" x14ac:dyDescent="0.25">
      <c r="B594" s="376"/>
      <c r="C594" s="376"/>
      <c r="D594" s="376"/>
      <c r="E594" s="376"/>
      <c r="F594" s="376"/>
      <c r="G594" s="376"/>
      <c r="H594" s="376"/>
      <c r="I594" s="376"/>
      <c r="J594" s="376"/>
      <c r="K594" s="376"/>
    </row>
    <row r="595" spans="2:11" s="304" customFormat="1" ht="15" x14ac:dyDescent="0.25">
      <c r="B595" s="433" t="s">
        <v>1676</v>
      </c>
      <c r="C595" s="361" t="s">
        <v>0</v>
      </c>
      <c r="D595" s="433" t="s">
        <v>185</v>
      </c>
      <c r="E595" s="433" t="s">
        <v>83</v>
      </c>
      <c r="F595" s="498" t="s">
        <v>1</v>
      </c>
      <c r="G595" s="498"/>
      <c r="H595" s="362" t="s">
        <v>3</v>
      </c>
      <c r="I595" s="361" t="s">
        <v>186</v>
      </c>
      <c r="J595" s="361" t="s">
        <v>187</v>
      </c>
      <c r="K595" s="361" t="s">
        <v>4</v>
      </c>
    </row>
    <row r="596" spans="2:11" s="304" customFormat="1" ht="51" x14ac:dyDescent="0.25">
      <c r="B596" s="434" t="s">
        <v>7</v>
      </c>
      <c r="C596" s="363" t="s">
        <v>1390</v>
      </c>
      <c r="D596" s="434" t="s">
        <v>125</v>
      </c>
      <c r="E596" s="434" t="s">
        <v>304</v>
      </c>
      <c r="F596" s="499" t="s">
        <v>1182</v>
      </c>
      <c r="G596" s="499"/>
      <c r="H596" s="364" t="s">
        <v>35</v>
      </c>
      <c r="I596" s="365">
        <v>1</v>
      </c>
      <c r="J596" s="366">
        <v>49.24</v>
      </c>
      <c r="K596" s="366">
        <v>49.24</v>
      </c>
    </row>
    <row r="597" spans="2:11" s="304" customFormat="1" ht="38.25" x14ac:dyDescent="0.25">
      <c r="B597" s="430" t="s">
        <v>189</v>
      </c>
      <c r="C597" s="367" t="s">
        <v>218</v>
      </c>
      <c r="D597" s="430" t="s">
        <v>31</v>
      </c>
      <c r="E597" s="430" t="s">
        <v>219</v>
      </c>
      <c r="F597" s="497" t="s">
        <v>188</v>
      </c>
      <c r="G597" s="497"/>
      <c r="H597" s="368" t="s">
        <v>32</v>
      </c>
      <c r="I597" s="369">
        <v>0.89500000000000002</v>
      </c>
      <c r="J597" s="370">
        <v>18.48</v>
      </c>
      <c r="K597" s="370">
        <v>16.53</v>
      </c>
    </row>
    <row r="598" spans="2:11" s="304" customFormat="1" ht="38.25" x14ac:dyDescent="0.25">
      <c r="B598" s="430" t="s">
        <v>189</v>
      </c>
      <c r="C598" s="367" t="s">
        <v>220</v>
      </c>
      <c r="D598" s="430" t="s">
        <v>31</v>
      </c>
      <c r="E598" s="430" t="s">
        <v>221</v>
      </c>
      <c r="F598" s="497" t="s">
        <v>188</v>
      </c>
      <c r="G598" s="497"/>
      <c r="H598" s="368" t="s">
        <v>32</v>
      </c>
      <c r="I598" s="369">
        <v>0.89500000000000002</v>
      </c>
      <c r="J598" s="370">
        <v>22.58</v>
      </c>
      <c r="K598" s="370">
        <v>20.2</v>
      </c>
    </row>
    <row r="599" spans="2:11" s="304" customFormat="1" ht="38.25" x14ac:dyDescent="0.25">
      <c r="B599" s="431" t="s">
        <v>190</v>
      </c>
      <c r="C599" s="371" t="s">
        <v>1400</v>
      </c>
      <c r="D599" s="431" t="s">
        <v>31</v>
      </c>
      <c r="E599" s="431" t="s">
        <v>1401</v>
      </c>
      <c r="F599" s="500" t="s">
        <v>199</v>
      </c>
      <c r="G599" s="500"/>
      <c r="H599" s="372" t="s">
        <v>35</v>
      </c>
      <c r="I599" s="373">
        <v>1</v>
      </c>
      <c r="J599" s="374">
        <v>12.51</v>
      </c>
      <c r="K599" s="374">
        <v>12.51</v>
      </c>
    </row>
    <row r="600" spans="2:11" s="304" customFormat="1" ht="15" x14ac:dyDescent="0.25">
      <c r="B600" s="432"/>
      <c r="C600" s="432"/>
      <c r="D600" s="432"/>
      <c r="E600" s="432"/>
      <c r="F600" s="432"/>
      <c r="G600" s="375"/>
      <c r="H600" s="432"/>
      <c r="I600" s="375"/>
      <c r="J600" s="375"/>
      <c r="K600"/>
    </row>
    <row r="601" spans="2:11" s="304" customFormat="1" ht="15.75" thickBot="1" x14ac:dyDescent="0.3">
      <c r="B601" s="432"/>
      <c r="C601" s="432"/>
      <c r="D601" s="432"/>
      <c r="E601" s="432"/>
      <c r="F601" s="432"/>
      <c r="G601" s="375"/>
      <c r="H601" s="432"/>
      <c r="I601" s="432"/>
      <c r="J601" s="375"/>
      <c r="K601"/>
    </row>
    <row r="602" spans="2:11" ht="13.5" thickTop="1" x14ac:dyDescent="0.25">
      <c r="B602" s="376"/>
      <c r="C602" s="376"/>
      <c r="D602" s="376"/>
      <c r="E602" s="376"/>
      <c r="F602" s="376"/>
      <c r="G602" s="376"/>
      <c r="H602" s="376"/>
      <c r="I602" s="376"/>
      <c r="J602" s="376"/>
      <c r="K602" s="376"/>
    </row>
    <row r="603" spans="2:11" ht="15" x14ac:dyDescent="0.25">
      <c r="B603" s="433" t="s">
        <v>1181</v>
      </c>
      <c r="C603" s="361" t="s">
        <v>0</v>
      </c>
      <c r="D603" s="433" t="s">
        <v>185</v>
      </c>
      <c r="E603" s="433" t="s">
        <v>83</v>
      </c>
      <c r="F603" s="498" t="s">
        <v>1</v>
      </c>
      <c r="G603" s="498"/>
      <c r="H603" s="362" t="s">
        <v>3</v>
      </c>
      <c r="I603" s="361" t="s">
        <v>186</v>
      </c>
      <c r="J603" s="361" t="s">
        <v>187</v>
      </c>
      <c r="K603" s="361" t="s">
        <v>4</v>
      </c>
    </row>
    <row r="604" spans="2:11" ht="25.5" x14ac:dyDescent="0.25">
      <c r="B604" s="434" t="s">
        <v>7</v>
      </c>
      <c r="C604" s="363" t="s">
        <v>951</v>
      </c>
      <c r="D604" s="434" t="s">
        <v>177</v>
      </c>
      <c r="E604" s="434" t="s">
        <v>952</v>
      </c>
      <c r="F604" s="499" t="s">
        <v>1183</v>
      </c>
      <c r="G604" s="499"/>
      <c r="H604" s="364" t="s">
        <v>227</v>
      </c>
      <c r="I604" s="365">
        <v>1</v>
      </c>
      <c r="J604" s="366">
        <v>11.92</v>
      </c>
      <c r="K604" s="366">
        <v>11.92</v>
      </c>
    </row>
    <row r="605" spans="2:11" ht="38.25" x14ac:dyDescent="0.25">
      <c r="B605" s="430" t="s">
        <v>189</v>
      </c>
      <c r="C605" s="367" t="s">
        <v>1153</v>
      </c>
      <c r="D605" s="430" t="s">
        <v>177</v>
      </c>
      <c r="E605" s="430" t="s">
        <v>1154</v>
      </c>
      <c r="F605" s="497" t="s">
        <v>1125</v>
      </c>
      <c r="G605" s="497"/>
      <c r="H605" s="368" t="s">
        <v>1126</v>
      </c>
      <c r="I605" s="369">
        <v>0.2</v>
      </c>
      <c r="J605" s="370">
        <v>3.51</v>
      </c>
      <c r="K605" s="370">
        <v>0.7</v>
      </c>
    </row>
    <row r="606" spans="2:11" ht="38.25" x14ac:dyDescent="0.25">
      <c r="B606" s="430" t="s">
        <v>189</v>
      </c>
      <c r="C606" s="367" t="s">
        <v>1123</v>
      </c>
      <c r="D606" s="430" t="s">
        <v>177</v>
      </c>
      <c r="E606" s="430" t="s">
        <v>1124</v>
      </c>
      <c r="F606" s="497" t="s">
        <v>1125</v>
      </c>
      <c r="G606" s="497"/>
      <c r="H606" s="368" t="s">
        <v>1126</v>
      </c>
      <c r="I606" s="369">
        <v>0.2</v>
      </c>
      <c r="J606" s="370">
        <v>3.63</v>
      </c>
      <c r="K606" s="370">
        <v>0.72</v>
      </c>
    </row>
    <row r="607" spans="2:11" x14ac:dyDescent="0.25">
      <c r="B607" s="431" t="s">
        <v>190</v>
      </c>
      <c r="C607" s="371" t="s">
        <v>835</v>
      </c>
      <c r="D607" s="431" t="s">
        <v>177</v>
      </c>
      <c r="E607" s="431" t="s">
        <v>836</v>
      </c>
      <c r="F607" s="500" t="s">
        <v>199</v>
      </c>
      <c r="G607" s="500"/>
      <c r="H607" s="372" t="s">
        <v>227</v>
      </c>
      <c r="I607" s="373">
        <v>1</v>
      </c>
      <c r="J607" s="374">
        <v>4.9000000000000004</v>
      </c>
      <c r="K607" s="374">
        <v>4.9000000000000004</v>
      </c>
    </row>
    <row r="608" spans="2:11" ht="38.25" x14ac:dyDescent="0.25">
      <c r="B608" s="431" t="s">
        <v>190</v>
      </c>
      <c r="C608" s="371" t="s">
        <v>224</v>
      </c>
      <c r="D608" s="431" t="s">
        <v>31</v>
      </c>
      <c r="E608" s="431" t="s">
        <v>1156</v>
      </c>
      <c r="F608" s="500" t="s">
        <v>191</v>
      </c>
      <c r="G608" s="500"/>
      <c r="H608" s="372" t="s">
        <v>32</v>
      </c>
      <c r="I608" s="373">
        <v>0.2</v>
      </c>
      <c r="J608" s="374">
        <v>16.39</v>
      </c>
      <c r="K608" s="374">
        <v>3.27</v>
      </c>
    </row>
    <row r="609" spans="2:11" ht="38.25" x14ac:dyDescent="0.25">
      <c r="B609" s="431" t="s">
        <v>190</v>
      </c>
      <c r="C609" s="371" t="s">
        <v>175</v>
      </c>
      <c r="D609" s="431" t="s">
        <v>31</v>
      </c>
      <c r="E609" s="431" t="s">
        <v>47</v>
      </c>
      <c r="F609" s="500" t="s">
        <v>191</v>
      </c>
      <c r="G609" s="500"/>
      <c r="H609" s="372" t="s">
        <v>32</v>
      </c>
      <c r="I609" s="373">
        <v>0.2</v>
      </c>
      <c r="J609" s="374">
        <v>11.67</v>
      </c>
      <c r="K609" s="374">
        <v>2.33</v>
      </c>
    </row>
    <row r="610" spans="2:11" ht="15" x14ac:dyDescent="0.25">
      <c r="B610" s="432"/>
      <c r="C610" s="432"/>
      <c r="D610" s="432"/>
      <c r="E610" s="432"/>
      <c r="F610" s="432"/>
      <c r="G610" s="375"/>
      <c r="H610" s="432"/>
      <c r="I610" s="375"/>
      <c r="J610" s="375"/>
      <c r="K610"/>
    </row>
    <row r="611" spans="2:11" ht="15" x14ac:dyDescent="0.25">
      <c r="B611" s="432"/>
      <c r="C611" s="432"/>
      <c r="D611" s="432"/>
      <c r="E611" s="432"/>
      <c r="F611" s="432"/>
      <c r="G611" s="375"/>
      <c r="H611" s="432"/>
      <c r="I611" s="432"/>
      <c r="J611" s="375"/>
      <c r="K611"/>
    </row>
    <row r="612" spans="2:11" ht="15" x14ac:dyDescent="0.25">
      <c r="B612" s="433" t="s">
        <v>1457</v>
      </c>
      <c r="C612" s="361" t="s">
        <v>0</v>
      </c>
      <c r="D612" s="433" t="s">
        <v>185</v>
      </c>
      <c r="E612" s="433" t="s">
        <v>83</v>
      </c>
      <c r="F612" s="498" t="s">
        <v>1</v>
      </c>
      <c r="G612" s="498"/>
      <c r="H612" s="362" t="s">
        <v>3</v>
      </c>
      <c r="I612" s="361" t="s">
        <v>186</v>
      </c>
      <c r="J612" s="361" t="s">
        <v>187</v>
      </c>
      <c r="K612" s="361" t="s">
        <v>4</v>
      </c>
    </row>
    <row r="613" spans="2:11" ht="25.5" x14ac:dyDescent="0.25">
      <c r="B613" s="434" t="s">
        <v>7</v>
      </c>
      <c r="C613" s="363" t="s">
        <v>766</v>
      </c>
      <c r="D613" s="434" t="s">
        <v>125</v>
      </c>
      <c r="E613" s="434" t="s">
        <v>455</v>
      </c>
      <c r="F613" s="499">
        <v>63</v>
      </c>
      <c r="G613" s="499"/>
      <c r="H613" s="364" t="s">
        <v>22</v>
      </c>
      <c r="I613" s="365">
        <v>1</v>
      </c>
      <c r="J613" s="366">
        <v>5.29</v>
      </c>
      <c r="K613" s="366">
        <v>5.29</v>
      </c>
    </row>
    <row r="614" spans="2:11" ht="38.25" x14ac:dyDescent="0.25">
      <c r="B614" s="430" t="s">
        <v>189</v>
      </c>
      <c r="C614" s="367" t="s">
        <v>220</v>
      </c>
      <c r="D614" s="430" t="s">
        <v>31</v>
      </c>
      <c r="E614" s="430" t="s">
        <v>221</v>
      </c>
      <c r="F614" s="497" t="s">
        <v>188</v>
      </c>
      <c r="G614" s="497"/>
      <c r="H614" s="368" t="s">
        <v>32</v>
      </c>
      <c r="I614" s="369">
        <v>0.1</v>
      </c>
      <c r="J614" s="370">
        <v>22.58</v>
      </c>
      <c r="K614" s="370">
        <v>2.25</v>
      </c>
    </row>
    <row r="615" spans="2:11" ht="38.25" x14ac:dyDescent="0.25">
      <c r="B615" s="430" t="s">
        <v>189</v>
      </c>
      <c r="C615" s="367" t="s">
        <v>218</v>
      </c>
      <c r="D615" s="430" t="s">
        <v>31</v>
      </c>
      <c r="E615" s="430" t="s">
        <v>219</v>
      </c>
      <c r="F615" s="497" t="s">
        <v>188</v>
      </c>
      <c r="G615" s="497"/>
      <c r="H615" s="368" t="s">
        <v>32</v>
      </c>
      <c r="I615" s="369">
        <v>0.1</v>
      </c>
      <c r="J615" s="370">
        <v>18.48</v>
      </c>
      <c r="K615" s="370">
        <v>1.84</v>
      </c>
    </row>
    <row r="616" spans="2:11" x14ac:dyDescent="0.25">
      <c r="B616" s="431" t="s">
        <v>190</v>
      </c>
      <c r="C616" s="371" t="s">
        <v>829</v>
      </c>
      <c r="D616" s="431" t="s">
        <v>177</v>
      </c>
      <c r="E616" s="431" t="s">
        <v>830</v>
      </c>
      <c r="F616" s="500" t="s">
        <v>199</v>
      </c>
      <c r="G616" s="500"/>
      <c r="H616" s="372" t="s">
        <v>227</v>
      </c>
      <c r="I616" s="373">
        <v>1</v>
      </c>
      <c r="J616" s="374">
        <v>1.2</v>
      </c>
      <c r="K616" s="374">
        <v>1.2</v>
      </c>
    </row>
    <row r="617" spans="2:11" ht="15" x14ac:dyDescent="0.25">
      <c r="B617" s="432"/>
      <c r="C617" s="432"/>
      <c r="D617" s="432"/>
      <c r="E617" s="432"/>
      <c r="F617" s="432"/>
      <c r="G617" s="375"/>
      <c r="H617" s="432"/>
      <c r="I617" s="375"/>
      <c r="J617" s="375"/>
      <c r="K617"/>
    </row>
    <row r="618" spans="2:11" ht="15.75" thickBot="1" x14ac:dyDescent="0.3">
      <c r="B618" s="432"/>
      <c r="C618" s="432"/>
      <c r="D618" s="432"/>
      <c r="E618" s="432"/>
      <c r="F618" s="432"/>
      <c r="G618" s="375"/>
      <c r="H618" s="432"/>
      <c r="I618" s="432"/>
      <c r="J618" s="375"/>
      <c r="K618"/>
    </row>
    <row r="619" spans="2:11" ht="13.5" thickTop="1" x14ac:dyDescent="0.25">
      <c r="B619" s="376"/>
      <c r="C619" s="376"/>
      <c r="D619" s="376"/>
      <c r="E619" s="376"/>
      <c r="F619" s="376"/>
      <c r="G619" s="376"/>
      <c r="H619" s="376"/>
      <c r="I619" s="376"/>
      <c r="J619" s="376"/>
      <c r="K619" s="376"/>
    </row>
    <row r="620" spans="2:11" ht="15" x14ac:dyDescent="0.25">
      <c r="B620" s="433" t="s">
        <v>1184</v>
      </c>
      <c r="C620" s="361" t="s">
        <v>0</v>
      </c>
      <c r="D620" s="433" t="s">
        <v>185</v>
      </c>
      <c r="E620" s="433" t="s">
        <v>83</v>
      </c>
      <c r="F620" s="498" t="s">
        <v>1</v>
      </c>
      <c r="G620" s="498"/>
      <c r="H620" s="362" t="s">
        <v>3</v>
      </c>
      <c r="I620" s="361" t="s">
        <v>186</v>
      </c>
      <c r="J620" s="361" t="s">
        <v>187</v>
      </c>
      <c r="K620" s="361" t="s">
        <v>4</v>
      </c>
    </row>
    <row r="621" spans="2:11" ht="38.25" x14ac:dyDescent="0.25">
      <c r="B621" s="434" t="s">
        <v>7</v>
      </c>
      <c r="C621" s="363" t="s">
        <v>1402</v>
      </c>
      <c r="D621" s="434" t="s">
        <v>31</v>
      </c>
      <c r="E621" s="434" t="s">
        <v>1403</v>
      </c>
      <c r="F621" s="499" t="s">
        <v>217</v>
      </c>
      <c r="G621" s="499"/>
      <c r="H621" s="364" t="s">
        <v>35</v>
      </c>
      <c r="I621" s="365">
        <v>1</v>
      </c>
      <c r="J621" s="366">
        <v>13.21</v>
      </c>
      <c r="K621" s="366">
        <v>13.21</v>
      </c>
    </row>
    <row r="622" spans="2:11" ht="51" x14ac:dyDescent="0.25">
      <c r="B622" s="430" t="s">
        <v>189</v>
      </c>
      <c r="C622" s="367" t="s">
        <v>1594</v>
      </c>
      <c r="D622" s="430" t="s">
        <v>31</v>
      </c>
      <c r="E622" s="430" t="s">
        <v>1595</v>
      </c>
      <c r="F622" s="497" t="s">
        <v>238</v>
      </c>
      <c r="G622" s="497"/>
      <c r="H622" s="368" t="s">
        <v>35</v>
      </c>
      <c r="I622" s="369">
        <v>1</v>
      </c>
      <c r="J622" s="370">
        <v>2.5499999999999998</v>
      </c>
      <c r="K622" s="370">
        <v>2.5499999999999998</v>
      </c>
    </row>
    <row r="623" spans="2:11" ht="38.25" x14ac:dyDescent="0.25">
      <c r="B623" s="430" t="s">
        <v>189</v>
      </c>
      <c r="C623" s="367" t="s">
        <v>218</v>
      </c>
      <c r="D623" s="430" t="s">
        <v>31</v>
      </c>
      <c r="E623" s="430" t="s">
        <v>219</v>
      </c>
      <c r="F623" s="497" t="s">
        <v>188</v>
      </c>
      <c r="G623" s="497"/>
      <c r="H623" s="368" t="s">
        <v>32</v>
      </c>
      <c r="I623" s="369">
        <v>0.106</v>
      </c>
      <c r="J623" s="370">
        <v>18.48</v>
      </c>
      <c r="K623" s="370">
        <v>1.95</v>
      </c>
    </row>
    <row r="624" spans="2:11" ht="38.25" x14ac:dyDescent="0.25">
      <c r="B624" s="430" t="s">
        <v>189</v>
      </c>
      <c r="C624" s="367" t="s">
        <v>220</v>
      </c>
      <c r="D624" s="430" t="s">
        <v>31</v>
      </c>
      <c r="E624" s="430" t="s">
        <v>221</v>
      </c>
      <c r="F624" s="497" t="s">
        <v>188</v>
      </c>
      <c r="G624" s="497"/>
      <c r="H624" s="368" t="s">
        <v>32</v>
      </c>
      <c r="I624" s="369">
        <v>0.106</v>
      </c>
      <c r="J624" s="370">
        <v>22.58</v>
      </c>
      <c r="K624" s="370">
        <v>2.39</v>
      </c>
    </row>
    <row r="625" spans="2:11" ht="38.25" x14ac:dyDescent="0.25">
      <c r="B625" s="431" t="s">
        <v>190</v>
      </c>
      <c r="C625" s="371" t="s">
        <v>1596</v>
      </c>
      <c r="D625" s="431" t="s">
        <v>31</v>
      </c>
      <c r="E625" s="431" t="s">
        <v>1597</v>
      </c>
      <c r="F625" s="500" t="s">
        <v>199</v>
      </c>
      <c r="G625" s="500"/>
      <c r="H625" s="372" t="s">
        <v>35</v>
      </c>
      <c r="I625" s="373">
        <v>1.0169999999999999</v>
      </c>
      <c r="J625" s="374">
        <v>6.22</v>
      </c>
      <c r="K625" s="374">
        <v>6.32</v>
      </c>
    </row>
    <row r="626" spans="2:11" ht="15" x14ac:dyDescent="0.25">
      <c r="B626" s="432"/>
      <c r="C626" s="432"/>
      <c r="D626" s="432"/>
      <c r="E626" s="432"/>
      <c r="F626" s="432"/>
      <c r="G626" s="375"/>
      <c r="H626" s="432"/>
      <c r="I626" s="375"/>
      <c r="J626" s="375"/>
      <c r="K626"/>
    </row>
    <row r="627" spans="2:11" ht="15.75" thickBot="1" x14ac:dyDescent="0.3">
      <c r="B627" s="432"/>
      <c r="C627" s="432"/>
      <c r="D627" s="432"/>
      <c r="E627" s="432"/>
      <c r="F627" s="432"/>
      <c r="G627" s="375"/>
      <c r="H627" s="432"/>
      <c r="I627" s="432"/>
      <c r="J627" s="375"/>
      <c r="K627"/>
    </row>
    <row r="628" spans="2:11" ht="13.5" thickTop="1" x14ac:dyDescent="0.25">
      <c r="B628" s="376"/>
      <c r="C628" s="376"/>
      <c r="D628" s="376"/>
      <c r="E628" s="376"/>
      <c r="F628" s="376"/>
      <c r="G628" s="376"/>
      <c r="H628" s="376"/>
      <c r="I628" s="376"/>
      <c r="J628" s="376"/>
      <c r="K628" s="376"/>
    </row>
    <row r="629" spans="2:11" ht="15" x14ac:dyDescent="0.25">
      <c r="B629" s="433" t="s">
        <v>1185</v>
      </c>
      <c r="C629" s="361" t="s">
        <v>0</v>
      </c>
      <c r="D629" s="433" t="s">
        <v>185</v>
      </c>
      <c r="E629" s="433" t="s">
        <v>83</v>
      </c>
      <c r="F629" s="498" t="s">
        <v>1</v>
      </c>
      <c r="G629" s="498"/>
      <c r="H629" s="362" t="s">
        <v>3</v>
      </c>
      <c r="I629" s="361" t="s">
        <v>186</v>
      </c>
      <c r="J629" s="361" t="s">
        <v>187</v>
      </c>
      <c r="K629" s="361" t="s">
        <v>4</v>
      </c>
    </row>
    <row r="630" spans="2:11" ht="38.25" x14ac:dyDescent="0.25">
      <c r="B630" s="434" t="s">
        <v>7</v>
      </c>
      <c r="C630" s="363" t="s">
        <v>1404</v>
      </c>
      <c r="D630" s="434" t="s">
        <v>31</v>
      </c>
      <c r="E630" s="434" t="s">
        <v>1405</v>
      </c>
      <c r="F630" s="499" t="s">
        <v>217</v>
      </c>
      <c r="G630" s="499"/>
      <c r="H630" s="364" t="s">
        <v>35</v>
      </c>
      <c r="I630" s="365">
        <v>1</v>
      </c>
      <c r="J630" s="366">
        <v>9.9499999999999993</v>
      </c>
      <c r="K630" s="366">
        <v>9.9499999999999993</v>
      </c>
    </row>
    <row r="631" spans="2:11" ht="51" x14ac:dyDescent="0.25">
      <c r="B631" s="430" t="s">
        <v>189</v>
      </c>
      <c r="C631" s="367" t="s">
        <v>1594</v>
      </c>
      <c r="D631" s="430" t="s">
        <v>31</v>
      </c>
      <c r="E631" s="430" t="s">
        <v>1595</v>
      </c>
      <c r="F631" s="497" t="s">
        <v>238</v>
      </c>
      <c r="G631" s="497"/>
      <c r="H631" s="368" t="s">
        <v>35</v>
      </c>
      <c r="I631" s="369">
        <v>1</v>
      </c>
      <c r="J631" s="370">
        <v>2.5499999999999998</v>
      </c>
      <c r="K631" s="370">
        <v>2.5499999999999998</v>
      </c>
    </row>
    <row r="632" spans="2:11" ht="38.25" x14ac:dyDescent="0.25">
      <c r="B632" s="430" t="s">
        <v>189</v>
      </c>
      <c r="C632" s="367" t="s">
        <v>218</v>
      </c>
      <c r="D632" s="430" t="s">
        <v>31</v>
      </c>
      <c r="E632" s="430" t="s">
        <v>219</v>
      </c>
      <c r="F632" s="497" t="s">
        <v>188</v>
      </c>
      <c r="G632" s="497"/>
      <c r="H632" s="368" t="s">
        <v>32</v>
      </c>
      <c r="I632" s="369">
        <v>8.2000000000000003E-2</v>
      </c>
      <c r="J632" s="370">
        <v>18.48</v>
      </c>
      <c r="K632" s="370">
        <v>1.51</v>
      </c>
    </row>
    <row r="633" spans="2:11" ht="38.25" x14ac:dyDescent="0.25">
      <c r="B633" s="430" t="s">
        <v>189</v>
      </c>
      <c r="C633" s="367" t="s">
        <v>220</v>
      </c>
      <c r="D633" s="430" t="s">
        <v>31</v>
      </c>
      <c r="E633" s="430" t="s">
        <v>221</v>
      </c>
      <c r="F633" s="497" t="s">
        <v>188</v>
      </c>
      <c r="G633" s="497"/>
      <c r="H633" s="368" t="s">
        <v>32</v>
      </c>
      <c r="I633" s="369">
        <v>8.2000000000000003E-2</v>
      </c>
      <c r="J633" s="370">
        <v>22.58</v>
      </c>
      <c r="K633" s="370">
        <v>1.85</v>
      </c>
    </row>
    <row r="634" spans="2:11" ht="38.25" x14ac:dyDescent="0.25">
      <c r="B634" s="431" t="s">
        <v>190</v>
      </c>
      <c r="C634" s="371" t="s">
        <v>1598</v>
      </c>
      <c r="D634" s="431" t="s">
        <v>31</v>
      </c>
      <c r="E634" s="431" t="s">
        <v>1599</v>
      </c>
      <c r="F634" s="500" t="s">
        <v>199</v>
      </c>
      <c r="G634" s="500"/>
      <c r="H634" s="372" t="s">
        <v>35</v>
      </c>
      <c r="I634" s="373">
        <v>1.0169999999999999</v>
      </c>
      <c r="J634" s="374">
        <v>3.98</v>
      </c>
      <c r="K634" s="374">
        <v>4.04</v>
      </c>
    </row>
    <row r="635" spans="2:11" ht="15" x14ac:dyDescent="0.25">
      <c r="B635" s="432"/>
      <c r="C635" s="432"/>
      <c r="D635" s="432"/>
      <c r="E635" s="432"/>
      <c r="F635" s="432"/>
      <c r="G635" s="375"/>
      <c r="H635" s="432"/>
      <c r="I635" s="375"/>
      <c r="J635" s="375"/>
      <c r="K635"/>
    </row>
    <row r="636" spans="2:11" ht="15.75" thickBot="1" x14ac:dyDescent="0.3">
      <c r="B636" s="432"/>
      <c r="C636" s="432"/>
      <c r="D636" s="432"/>
      <c r="E636" s="432"/>
      <c r="F636" s="432"/>
      <c r="G636" s="375"/>
      <c r="H636" s="432"/>
      <c r="I636" s="432"/>
      <c r="J636" s="375"/>
      <c r="K636"/>
    </row>
    <row r="637" spans="2:11" ht="13.5" thickTop="1" x14ac:dyDescent="0.25">
      <c r="B637" s="376"/>
      <c r="C637" s="376"/>
      <c r="D637" s="376"/>
      <c r="E637" s="376"/>
      <c r="F637" s="376"/>
      <c r="G637" s="376"/>
      <c r="H637" s="376"/>
      <c r="I637" s="376"/>
      <c r="J637" s="376"/>
      <c r="K637" s="376"/>
    </row>
    <row r="638" spans="2:11" ht="15" x14ac:dyDescent="0.25">
      <c r="B638" s="433" t="s">
        <v>1186</v>
      </c>
      <c r="C638" s="361" t="s">
        <v>0</v>
      </c>
      <c r="D638" s="433" t="s">
        <v>185</v>
      </c>
      <c r="E638" s="433" t="s">
        <v>83</v>
      </c>
      <c r="F638" s="498" t="s">
        <v>1</v>
      </c>
      <c r="G638" s="498"/>
      <c r="H638" s="362" t="s">
        <v>3</v>
      </c>
      <c r="I638" s="361" t="s">
        <v>186</v>
      </c>
      <c r="J638" s="361" t="s">
        <v>187</v>
      </c>
      <c r="K638" s="361" t="s">
        <v>4</v>
      </c>
    </row>
    <row r="639" spans="2:11" ht="38.25" x14ac:dyDescent="0.25">
      <c r="B639" s="434" t="s">
        <v>7</v>
      </c>
      <c r="C639" s="363" t="s">
        <v>1406</v>
      </c>
      <c r="D639" s="434" t="s">
        <v>31</v>
      </c>
      <c r="E639" s="434" t="s">
        <v>1407</v>
      </c>
      <c r="F639" s="499" t="s">
        <v>217</v>
      </c>
      <c r="G639" s="499"/>
      <c r="H639" s="364" t="s">
        <v>35</v>
      </c>
      <c r="I639" s="365">
        <v>1</v>
      </c>
      <c r="J639" s="366">
        <v>14.62</v>
      </c>
      <c r="K639" s="366">
        <v>14.62</v>
      </c>
    </row>
    <row r="640" spans="2:11" ht="38.25" x14ac:dyDescent="0.25">
      <c r="B640" s="430" t="s">
        <v>189</v>
      </c>
      <c r="C640" s="367" t="s">
        <v>218</v>
      </c>
      <c r="D640" s="430" t="s">
        <v>31</v>
      </c>
      <c r="E640" s="430" t="s">
        <v>219</v>
      </c>
      <c r="F640" s="497" t="s">
        <v>188</v>
      </c>
      <c r="G640" s="497"/>
      <c r="H640" s="368" t="s">
        <v>32</v>
      </c>
      <c r="I640" s="369">
        <v>0.11219999999999999</v>
      </c>
      <c r="J640" s="370">
        <v>18.48</v>
      </c>
      <c r="K640" s="370">
        <v>2.0699999999999998</v>
      </c>
    </row>
    <row r="641" spans="2:11" ht="38.25" x14ac:dyDescent="0.25">
      <c r="B641" s="430" t="s">
        <v>189</v>
      </c>
      <c r="C641" s="367" t="s">
        <v>220</v>
      </c>
      <c r="D641" s="430" t="s">
        <v>31</v>
      </c>
      <c r="E641" s="430" t="s">
        <v>221</v>
      </c>
      <c r="F641" s="497" t="s">
        <v>188</v>
      </c>
      <c r="G641" s="497"/>
      <c r="H641" s="368" t="s">
        <v>32</v>
      </c>
      <c r="I641" s="369">
        <v>0.11219999999999999</v>
      </c>
      <c r="J641" s="370">
        <v>22.58</v>
      </c>
      <c r="K641" s="370">
        <v>2.5299999999999998</v>
      </c>
    </row>
    <row r="642" spans="2:11" ht="38.25" x14ac:dyDescent="0.25">
      <c r="B642" s="431" t="s">
        <v>190</v>
      </c>
      <c r="C642" s="371" t="s">
        <v>1600</v>
      </c>
      <c r="D642" s="431" t="s">
        <v>31</v>
      </c>
      <c r="E642" s="431" t="s">
        <v>1601</v>
      </c>
      <c r="F642" s="500" t="s">
        <v>199</v>
      </c>
      <c r="G642" s="500"/>
      <c r="H642" s="372" t="s">
        <v>35</v>
      </c>
      <c r="I642" s="373">
        <v>1.1000000000000001</v>
      </c>
      <c r="J642" s="374">
        <v>9.11</v>
      </c>
      <c r="K642" s="374">
        <v>10.02</v>
      </c>
    </row>
    <row r="643" spans="2:11" ht="15" x14ac:dyDescent="0.25">
      <c r="B643" s="432"/>
      <c r="C643" s="432"/>
      <c r="D643" s="432"/>
      <c r="E643" s="432"/>
      <c r="F643" s="432"/>
      <c r="G643" s="375"/>
      <c r="H643" s="432"/>
      <c r="I643" s="375"/>
      <c r="J643" s="375"/>
      <c r="K643"/>
    </row>
    <row r="644" spans="2:11" ht="15.75" thickBot="1" x14ac:dyDescent="0.3">
      <c r="B644" s="432"/>
      <c r="C644" s="432"/>
      <c r="D644" s="432"/>
      <c r="E644" s="432"/>
      <c r="F644" s="432"/>
      <c r="G644" s="375"/>
      <c r="H644" s="432"/>
      <c r="I644" s="432"/>
      <c r="J644" s="375"/>
      <c r="K644"/>
    </row>
    <row r="645" spans="2:11" ht="13.5" thickTop="1" x14ac:dyDescent="0.25">
      <c r="B645" s="376"/>
      <c r="C645" s="376"/>
      <c r="D645" s="376"/>
      <c r="E645" s="376"/>
      <c r="F645" s="376"/>
      <c r="G645" s="376"/>
      <c r="H645" s="376"/>
      <c r="I645" s="376"/>
      <c r="J645" s="376"/>
      <c r="K645" s="376"/>
    </row>
    <row r="646" spans="2:11" ht="15" x14ac:dyDescent="0.25">
      <c r="B646" s="433" t="s">
        <v>1187</v>
      </c>
      <c r="C646" s="361" t="s">
        <v>0</v>
      </c>
      <c r="D646" s="433" t="s">
        <v>185</v>
      </c>
      <c r="E646" s="433" t="s">
        <v>83</v>
      </c>
      <c r="F646" s="498" t="s">
        <v>1</v>
      </c>
      <c r="G646" s="498"/>
      <c r="H646" s="362" t="s">
        <v>3</v>
      </c>
      <c r="I646" s="361" t="s">
        <v>186</v>
      </c>
      <c r="J646" s="361" t="s">
        <v>187</v>
      </c>
      <c r="K646" s="361" t="s">
        <v>4</v>
      </c>
    </row>
    <row r="647" spans="2:11" ht="38.25" x14ac:dyDescent="0.25">
      <c r="B647" s="434" t="s">
        <v>7</v>
      </c>
      <c r="C647" s="363" t="s">
        <v>1408</v>
      </c>
      <c r="D647" s="434" t="s">
        <v>31</v>
      </c>
      <c r="E647" s="434" t="s">
        <v>1409</v>
      </c>
      <c r="F647" s="499" t="s">
        <v>217</v>
      </c>
      <c r="G647" s="499"/>
      <c r="H647" s="364" t="s">
        <v>35</v>
      </c>
      <c r="I647" s="365">
        <v>1</v>
      </c>
      <c r="J647" s="366">
        <v>21.66</v>
      </c>
      <c r="K647" s="366">
        <v>21.66</v>
      </c>
    </row>
    <row r="648" spans="2:11" ht="38.25" x14ac:dyDescent="0.25">
      <c r="B648" s="430" t="s">
        <v>189</v>
      </c>
      <c r="C648" s="367" t="s">
        <v>220</v>
      </c>
      <c r="D648" s="430" t="s">
        <v>31</v>
      </c>
      <c r="E648" s="430" t="s">
        <v>221</v>
      </c>
      <c r="F648" s="497" t="s">
        <v>188</v>
      </c>
      <c r="G648" s="497"/>
      <c r="H648" s="368" t="s">
        <v>32</v>
      </c>
      <c r="I648" s="369">
        <v>0.129</v>
      </c>
      <c r="J648" s="370">
        <v>22.58</v>
      </c>
      <c r="K648" s="370">
        <v>2.91</v>
      </c>
    </row>
    <row r="649" spans="2:11" ht="38.25" x14ac:dyDescent="0.25">
      <c r="B649" s="430" t="s">
        <v>189</v>
      </c>
      <c r="C649" s="367" t="s">
        <v>218</v>
      </c>
      <c r="D649" s="430" t="s">
        <v>31</v>
      </c>
      <c r="E649" s="430" t="s">
        <v>219</v>
      </c>
      <c r="F649" s="497" t="s">
        <v>188</v>
      </c>
      <c r="G649" s="497"/>
      <c r="H649" s="368" t="s">
        <v>32</v>
      </c>
      <c r="I649" s="369">
        <v>0.129</v>
      </c>
      <c r="J649" s="370">
        <v>18.48</v>
      </c>
      <c r="K649" s="370">
        <v>2.38</v>
      </c>
    </row>
    <row r="650" spans="2:11" ht="38.25" x14ac:dyDescent="0.25">
      <c r="B650" s="431" t="s">
        <v>190</v>
      </c>
      <c r="C650" s="371" t="s">
        <v>1602</v>
      </c>
      <c r="D650" s="431" t="s">
        <v>31</v>
      </c>
      <c r="E650" s="431" t="s">
        <v>1603</v>
      </c>
      <c r="F650" s="500" t="s">
        <v>199</v>
      </c>
      <c r="G650" s="500"/>
      <c r="H650" s="372" t="s">
        <v>35</v>
      </c>
      <c r="I650" s="373">
        <v>1.1000000000000001</v>
      </c>
      <c r="J650" s="374">
        <v>14.89</v>
      </c>
      <c r="K650" s="374">
        <v>16.37</v>
      </c>
    </row>
    <row r="651" spans="2:11" ht="15" x14ac:dyDescent="0.25">
      <c r="B651" s="432"/>
      <c r="C651" s="432"/>
      <c r="D651" s="432"/>
      <c r="E651" s="432"/>
      <c r="F651" s="432"/>
      <c r="G651" s="375"/>
      <c r="H651" s="432"/>
      <c r="I651" s="375"/>
      <c r="J651" s="375"/>
      <c r="K651"/>
    </row>
    <row r="652" spans="2:11" ht="15.75" thickBot="1" x14ac:dyDescent="0.3">
      <c r="B652" s="432"/>
      <c r="C652" s="432"/>
      <c r="D652" s="432"/>
      <c r="E652" s="432"/>
      <c r="F652" s="432"/>
      <c r="G652" s="375"/>
      <c r="H652" s="432"/>
      <c r="I652" s="432"/>
      <c r="J652" s="375"/>
      <c r="K652"/>
    </row>
    <row r="653" spans="2:11" ht="13.5" thickTop="1" x14ac:dyDescent="0.25">
      <c r="B653" s="376"/>
      <c r="C653" s="376"/>
      <c r="D653" s="376"/>
      <c r="E653" s="376"/>
      <c r="F653" s="376"/>
      <c r="G653" s="376"/>
      <c r="H653" s="376"/>
      <c r="I653" s="376"/>
      <c r="J653" s="376"/>
      <c r="K653" s="376"/>
    </row>
    <row r="654" spans="2:11" ht="15" x14ac:dyDescent="0.25">
      <c r="B654" s="433" t="s">
        <v>1188</v>
      </c>
      <c r="C654" s="361" t="s">
        <v>0</v>
      </c>
      <c r="D654" s="433" t="s">
        <v>185</v>
      </c>
      <c r="E654" s="433" t="s">
        <v>83</v>
      </c>
      <c r="F654" s="498" t="s">
        <v>1</v>
      </c>
      <c r="G654" s="498"/>
      <c r="H654" s="362" t="s">
        <v>3</v>
      </c>
      <c r="I654" s="361" t="s">
        <v>186</v>
      </c>
      <c r="J654" s="361" t="s">
        <v>187</v>
      </c>
      <c r="K654" s="361" t="s">
        <v>4</v>
      </c>
    </row>
    <row r="655" spans="2:11" ht="38.25" x14ac:dyDescent="0.25">
      <c r="B655" s="434" t="s">
        <v>7</v>
      </c>
      <c r="C655" s="363" t="s">
        <v>1410</v>
      </c>
      <c r="D655" s="434" t="s">
        <v>31</v>
      </c>
      <c r="E655" s="434" t="s">
        <v>1411</v>
      </c>
      <c r="F655" s="499" t="s">
        <v>217</v>
      </c>
      <c r="G655" s="499"/>
      <c r="H655" s="364" t="s">
        <v>35</v>
      </c>
      <c r="I655" s="365">
        <v>1</v>
      </c>
      <c r="J655" s="366">
        <v>55.95</v>
      </c>
      <c r="K655" s="366">
        <v>55.95</v>
      </c>
    </row>
    <row r="656" spans="2:11" ht="38.25" x14ac:dyDescent="0.25">
      <c r="B656" s="430" t="s">
        <v>189</v>
      </c>
      <c r="C656" s="367" t="s">
        <v>218</v>
      </c>
      <c r="D656" s="430" t="s">
        <v>31</v>
      </c>
      <c r="E656" s="430" t="s">
        <v>219</v>
      </c>
      <c r="F656" s="497" t="s">
        <v>188</v>
      </c>
      <c r="G656" s="497"/>
      <c r="H656" s="368" t="s">
        <v>32</v>
      </c>
      <c r="I656" s="369">
        <v>0.21299999999999999</v>
      </c>
      <c r="J656" s="370">
        <v>18.48</v>
      </c>
      <c r="K656" s="370">
        <v>3.93</v>
      </c>
    </row>
    <row r="657" spans="2:11" ht="38.25" x14ac:dyDescent="0.25">
      <c r="B657" s="430" t="s">
        <v>189</v>
      </c>
      <c r="C657" s="367" t="s">
        <v>220</v>
      </c>
      <c r="D657" s="430" t="s">
        <v>31</v>
      </c>
      <c r="E657" s="430" t="s">
        <v>221</v>
      </c>
      <c r="F657" s="497" t="s">
        <v>188</v>
      </c>
      <c r="G657" s="497"/>
      <c r="H657" s="368" t="s">
        <v>32</v>
      </c>
      <c r="I657" s="369">
        <v>0.21299999999999999</v>
      </c>
      <c r="J657" s="370">
        <v>22.58</v>
      </c>
      <c r="K657" s="370">
        <v>4.8</v>
      </c>
    </row>
    <row r="658" spans="2:11" ht="38.25" x14ac:dyDescent="0.25">
      <c r="B658" s="431" t="s">
        <v>190</v>
      </c>
      <c r="C658" s="371" t="s">
        <v>1604</v>
      </c>
      <c r="D658" s="431" t="s">
        <v>31</v>
      </c>
      <c r="E658" s="431" t="s">
        <v>1605</v>
      </c>
      <c r="F658" s="500" t="s">
        <v>199</v>
      </c>
      <c r="G658" s="500"/>
      <c r="H658" s="372" t="s">
        <v>35</v>
      </c>
      <c r="I658" s="373">
        <v>1.1000000000000001</v>
      </c>
      <c r="J658" s="374">
        <v>42.93</v>
      </c>
      <c r="K658" s="374">
        <v>47.22</v>
      </c>
    </row>
    <row r="659" spans="2:11" ht="15" x14ac:dyDescent="0.25">
      <c r="B659" s="432"/>
      <c r="C659" s="432"/>
      <c r="D659" s="432"/>
      <c r="E659" s="432"/>
      <c r="F659" s="432"/>
      <c r="G659" s="375"/>
      <c r="H659" s="432"/>
      <c r="I659" s="375"/>
      <c r="J659" s="375"/>
      <c r="K659"/>
    </row>
    <row r="660" spans="2:11" ht="15.75" thickBot="1" x14ac:dyDescent="0.3">
      <c r="B660" s="432"/>
      <c r="C660" s="432"/>
      <c r="D660" s="432"/>
      <c r="E660" s="432"/>
      <c r="F660" s="432"/>
      <c r="G660" s="375"/>
      <c r="H660" s="432"/>
      <c r="I660" s="432"/>
      <c r="J660" s="375"/>
      <c r="K660"/>
    </row>
    <row r="661" spans="2:11" ht="13.5" thickTop="1" x14ac:dyDescent="0.25">
      <c r="B661" s="376"/>
      <c r="C661" s="376"/>
      <c r="D661" s="376"/>
      <c r="E661" s="376"/>
      <c r="F661" s="376"/>
      <c r="G661" s="376"/>
      <c r="H661" s="376"/>
      <c r="I661" s="376"/>
      <c r="J661" s="376"/>
      <c r="K661" s="376"/>
    </row>
    <row r="662" spans="2:11" ht="15" x14ac:dyDescent="0.25">
      <c r="B662" s="433" t="s">
        <v>1606</v>
      </c>
      <c r="C662" s="361" t="s">
        <v>0</v>
      </c>
      <c r="D662" s="433" t="s">
        <v>185</v>
      </c>
      <c r="E662" s="433" t="s">
        <v>83</v>
      </c>
      <c r="F662" s="498" t="s">
        <v>1</v>
      </c>
      <c r="G662" s="498"/>
      <c r="H662" s="362" t="s">
        <v>3</v>
      </c>
      <c r="I662" s="361" t="s">
        <v>186</v>
      </c>
      <c r="J662" s="361" t="s">
        <v>187</v>
      </c>
      <c r="K662" s="361" t="s">
        <v>4</v>
      </c>
    </row>
    <row r="663" spans="2:11" ht="25.5" x14ac:dyDescent="0.25">
      <c r="B663" s="434" t="s">
        <v>7</v>
      </c>
      <c r="C663" s="363" t="s">
        <v>962</v>
      </c>
      <c r="D663" s="434" t="s">
        <v>177</v>
      </c>
      <c r="E663" s="434" t="s">
        <v>963</v>
      </c>
      <c r="F663" s="499" t="s">
        <v>1189</v>
      </c>
      <c r="G663" s="499"/>
      <c r="H663" s="364" t="s">
        <v>227</v>
      </c>
      <c r="I663" s="365">
        <v>1</v>
      </c>
      <c r="J663" s="366">
        <v>6.44</v>
      </c>
      <c r="K663" s="366">
        <v>6.44</v>
      </c>
    </row>
    <row r="664" spans="2:11" ht="38.25" x14ac:dyDescent="0.25">
      <c r="B664" s="430" t="s">
        <v>189</v>
      </c>
      <c r="C664" s="367" t="s">
        <v>1123</v>
      </c>
      <c r="D664" s="430" t="s">
        <v>177</v>
      </c>
      <c r="E664" s="430" t="s">
        <v>1124</v>
      </c>
      <c r="F664" s="497" t="s">
        <v>1125</v>
      </c>
      <c r="G664" s="497"/>
      <c r="H664" s="368" t="s">
        <v>1126</v>
      </c>
      <c r="I664" s="369">
        <v>0.1</v>
      </c>
      <c r="J664" s="370">
        <v>3.63</v>
      </c>
      <c r="K664" s="370">
        <v>0.36</v>
      </c>
    </row>
    <row r="665" spans="2:11" ht="38.25" x14ac:dyDescent="0.25">
      <c r="B665" s="430" t="s">
        <v>189</v>
      </c>
      <c r="C665" s="367" t="s">
        <v>1190</v>
      </c>
      <c r="D665" s="430" t="s">
        <v>177</v>
      </c>
      <c r="E665" s="430" t="s">
        <v>1191</v>
      </c>
      <c r="F665" s="497" t="s">
        <v>1125</v>
      </c>
      <c r="G665" s="497"/>
      <c r="H665" s="368" t="s">
        <v>1126</v>
      </c>
      <c r="I665" s="369">
        <v>0.1</v>
      </c>
      <c r="J665" s="370">
        <v>3.56</v>
      </c>
      <c r="K665" s="370">
        <v>0.35</v>
      </c>
    </row>
    <row r="666" spans="2:11" ht="38.25" x14ac:dyDescent="0.25">
      <c r="B666" s="431" t="s">
        <v>190</v>
      </c>
      <c r="C666" s="371" t="s">
        <v>1194</v>
      </c>
      <c r="D666" s="431" t="s">
        <v>31</v>
      </c>
      <c r="E666" s="431" t="s">
        <v>1195</v>
      </c>
      <c r="F666" s="500" t="s">
        <v>199</v>
      </c>
      <c r="G666" s="500"/>
      <c r="H666" s="372" t="s">
        <v>22</v>
      </c>
      <c r="I666" s="373">
        <v>1</v>
      </c>
      <c r="J666" s="374">
        <v>2.94</v>
      </c>
      <c r="K666" s="374">
        <v>2.94</v>
      </c>
    </row>
    <row r="667" spans="2:11" ht="38.25" x14ac:dyDescent="0.25">
      <c r="B667" s="431" t="s">
        <v>190</v>
      </c>
      <c r="C667" s="371" t="s">
        <v>179</v>
      </c>
      <c r="D667" s="431" t="s">
        <v>31</v>
      </c>
      <c r="E667" s="431" t="s">
        <v>1192</v>
      </c>
      <c r="F667" s="500" t="s">
        <v>191</v>
      </c>
      <c r="G667" s="500"/>
      <c r="H667" s="372" t="s">
        <v>32</v>
      </c>
      <c r="I667" s="373">
        <v>0.1</v>
      </c>
      <c r="J667" s="374">
        <v>16.39</v>
      </c>
      <c r="K667" s="374">
        <v>1.63</v>
      </c>
    </row>
    <row r="668" spans="2:11" ht="38.25" x14ac:dyDescent="0.25">
      <c r="B668" s="431" t="s">
        <v>190</v>
      </c>
      <c r="C668" s="371" t="s">
        <v>175</v>
      </c>
      <c r="D668" s="431" t="s">
        <v>31</v>
      </c>
      <c r="E668" s="431" t="s">
        <v>47</v>
      </c>
      <c r="F668" s="500" t="s">
        <v>191</v>
      </c>
      <c r="G668" s="500"/>
      <c r="H668" s="372" t="s">
        <v>32</v>
      </c>
      <c r="I668" s="373">
        <v>0.1</v>
      </c>
      <c r="J668" s="374">
        <v>11.67</v>
      </c>
      <c r="K668" s="374">
        <v>1.1599999999999999</v>
      </c>
    </row>
    <row r="669" spans="2:11" ht="15" x14ac:dyDescent="0.25">
      <c r="B669" s="432"/>
      <c r="C669" s="432"/>
      <c r="D669" s="432"/>
      <c r="E669" s="432"/>
      <c r="F669" s="432"/>
      <c r="G669" s="375"/>
      <c r="H669" s="432"/>
      <c r="I669" s="375"/>
      <c r="J669" s="375"/>
      <c r="K669"/>
    </row>
    <row r="670" spans="2:11" ht="15.75" thickBot="1" x14ac:dyDescent="0.3">
      <c r="B670" s="432"/>
      <c r="C670" s="432"/>
      <c r="D670" s="432"/>
      <c r="E670" s="432"/>
      <c r="F670" s="432"/>
      <c r="G670" s="375"/>
      <c r="H670" s="432"/>
      <c r="I670" s="432"/>
      <c r="J670" s="375"/>
      <c r="K670"/>
    </row>
    <row r="671" spans="2:11" ht="13.5" thickTop="1" x14ac:dyDescent="0.25">
      <c r="B671" s="376"/>
      <c r="C671" s="376"/>
      <c r="D671" s="376"/>
      <c r="E671" s="376"/>
      <c r="F671" s="376"/>
      <c r="G671" s="376"/>
      <c r="H671" s="376"/>
      <c r="I671" s="376"/>
      <c r="J671" s="376"/>
      <c r="K671" s="376"/>
    </row>
    <row r="672" spans="2:11" ht="15" x14ac:dyDescent="0.25">
      <c r="B672" s="433" t="s">
        <v>1607</v>
      </c>
      <c r="C672" s="361" t="s">
        <v>0</v>
      </c>
      <c r="D672" s="433" t="s">
        <v>185</v>
      </c>
      <c r="E672" s="433" t="s">
        <v>83</v>
      </c>
      <c r="F672" s="498" t="s">
        <v>1</v>
      </c>
      <c r="G672" s="498"/>
      <c r="H672" s="362" t="s">
        <v>3</v>
      </c>
      <c r="I672" s="361" t="s">
        <v>186</v>
      </c>
      <c r="J672" s="361" t="s">
        <v>187</v>
      </c>
      <c r="K672" s="361" t="s">
        <v>4</v>
      </c>
    </row>
    <row r="673" spans="2:11" ht="25.5" x14ac:dyDescent="0.25">
      <c r="B673" s="434" t="s">
        <v>7</v>
      </c>
      <c r="C673" s="363" t="s">
        <v>750</v>
      </c>
      <c r="D673" s="434" t="s">
        <v>214</v>
      </c>
      <c r="E673" s="434" t="s">
        <v>751</v>
      </c>
      <c r="F673" s="499" t="s">
        <v>1310</v>
      </c>
      <c r="G673" s="499"/>
      <c r="H673" s="364" t="s">
        <v>35</v>
      </c>
      <c r="I673" s="365">
        <v>1</v>
      </c>
      <c r="J673" s="366">
        <v>109.76</v>
      </c>
      <c r="K673" s="366">
        <v>109.76</v>
      </c>
    </row>
    <row r="674" spans="2:11" ht="38.25" x14ac:dyDescent="0.25">
      <c r="B674" s="430" t="s">
        <v>189</v>
      </c>
      <c r="C674" s="367" t="s">
        <v>218</v>
      </c>
      <c r="D674" s="430" t="s">
        <v>31</v>
      </c>
      <c r="E674" s="430" t="s">
        <v>219</v>
      </c>
      <c r="F674" s="497" t="s">
        <v>188</v>
      </c>
      <c r="G674" s="497"/>
      <c r="H674" s="368" t="s">
        <v>32</v>
      </c>
      <c r="I674" s="369">
        <v>0.61599999999999999</v>
      </c>
      <c r="J674" s="370">
        <v>18.48</v>
      </c>
      <c r="K674" s="370">
        <v>11.38</v>
      </c>
    </row>
    <row r="675" spans="2:11" ht="38.25" x14ac:dyDescent="0.25">
      <c r="B675" s="430" t="s">
        <v>189</v>
      </c>
      <c r="C675" s="367" t="s">
        <v>220</v>
      </c>
      <c r="D675" s="430" t="s">
        <v>31</v>
      </c>
      <c r="E675" s="430" t="s">
        <v>221</v>
      </c>
      <c r="F675" s="497" t="s">
        <v>188</v>
      </c>
      <c r="G675" s="497"/>
      <c r="H675" s="368" t="s">
        <v>32</v>
      </c>
      <c r="I675" s="369">
        <v>0.61599999999999999</v>
      </c>
      <c r="J675" s="370">
        <v>22.58</v>
      </c>
      <c r="K675" s="370">
        <v>13.9</v>
      </c>
    </row>
    <row r="676" spans="2:11" x14ac:dyDescent="0.25">
      <c r="B676" s="431" t="s">
        <v>190</v>
      </c>
      <c r="C676" s="371" t="s">
        <v>817</v>
      </c>
      <c r="D676" s="431" t="s">
        <v>214</v>
      </c>
      <c r="E676" s="431" t="s">
        <v>818</v>
      </c>
      <c r="F676" s="500" t="s">
        <v>199</v>
      </c>
      <c r="G676" s="500"/>
      <c r="H676" s="372" t="s">
        <v>35</v>
      </c>
      <c r="I676" s="373">
        <v>1.05</v>
      </c>
      <c r="J676" s="374">
        <v>80.459999999999994</v>
      </c>
      <c r="K676" s="374">
        <v>84.48</v>
      </c>
    </row>
    <row r="677" spans="2:11" ht="15" x14ac:dyDescent="0.25">
      <c r="B677" s="432"/>
      <c r="C677" s="432"/>
      <c r="D677" s="432"/>
      <c r="E677" s="432"/>
      <c r="F677" s="432"/>
      <c r="G677" s="375"/>
      <c r="H677" s="432"/>
      <c r="I677" s="375"/>
      <c r="J677" s="375"/>
      <c r="K677"/>
    </row>
    <row r="678" spans="2:11" ht="15.75" thickBot="1" x14ac:dyDescent="0.3">
      <c r="B678" s="432"/>
      <c r="C678" s="432"/>
      <c r="D678" s="432"/>
      <c r="E678" s="432"/>
      <c r="F678" s="432"/>
      <c r="G678" s="375"/>
      <c r="H678" s="432"/>
      <c r="I678" s="432"/>
      <c r="J678" s="375"/>
      <c r="K678"/>
    </row>
    <row r="679" spans="2:11" ht="13.5" thickTop="1" x14ac:dyDescent="0.25">
      <c r="B679" s="376"/>
      <c r="C679" s="376"/>
      <c r="D679" s="376"/>
      <c r="E679" s="376"/>
      <c r="F679" s="376"/>
      <c r="G679" s="376"/>
      <c r="H679" s="376"/>
      <c r="I679" s="376"/>
      <c r="J679" s="376"/>
      <c r="K679" s="376"/>
    </row>
    <row r="680" spans="2:11" ht="15" x14ac:dyDescent="0.25">
      <c r="B680" s="433" t="s">
        <v>1193</v>
      </c>
      <c r="C680" s="361" t="s">
        <v>0</v>
      </c>
      <c r="D680" s="433" t="s">
        <v>185</v>
      </c>
      <c r="E680" s="433" t="s">
        <v>83</v>
      </c>
      <c r="F680" s="498" t="s">
        <v>1</v>
      </c>
      <c r="G680" s="498"/>
      <c r="H680" s="362" t="s">
        <v>3</v>
      </c>
      <c r="I680" s="361" t="s">
        <v>186</v>
      </c>
      <c r="J680" s="361" t="s">
        <v>187</v>
      </c>
      <c r="K680" s="361" t="s">
        <v>4</v>
      </c>
    </row>
    <row r="681" spans="2:11" ht="25.5" x14ac:dyDescent="0.25">
      <c r="B681" s="434" t="s">
        <v>7</v>
      </c>
      <c r="C681" s="363" t="s">
        <v>964</v>
      </c>
      <c r="D681" s="434" t="s">
        <v>214</v>
      </c>
      <c r="E681" s="434" t="s">
        <v>965</v>
      </c>
      <c r="F681" s="499" t="s">
        <v>1305</v>
      </c>
      <c r="G681" s="499"/>
      <c r="H681" s="364" t="s">
        <v>22</v>
      </c>
      <c r="I681" s="365">
        <v>1</v>
      </c>
      <c r="J681" s="366">
        <v>39.74</v>
      </c>
      <c r="K681" s="366">
        <v>39.74</v>
      </c>
    </row>
    <row r="682" spans="2:11" ht="38.25" x14ac:dyDescent="0.25">
      <c r="B682" s="430" t="s">
        <v>189</v>
      </c>
      <c r="C682" s="367" t="s">
        <v>218</v>
      </c>
      <c r="D682" s="430" t="s">
        <v>31</v>
      </c>
      <c r="E682" s="430" t="s">
        <v>219</v>
      </c>
      <c r="F682" s="497" t="s">
        <v>188</v>
      </c>
      <c r="G682" s="497"/>
      <c r="H682" s="368" t="s">
        <v>32</v>
      </c>
      <c r="I682" s="369">
        <v>0.1</v>
      </c>
      <c r="J682" s="370">
        <v>18.48</v>
      </c>
      <c r="K682" s="370">
        <v>1.84</v>
      </c>
    </row>
    <row r="683" spans="2:11" x14ac:dyDescent="0.25">
      <c r="B683" s="431" t="s">
        <v>190</v>
      </c>
      <c r="C683" s="371" t="s">
        <v>1198</v>
      </c>
      <c r="D683" s="431" t="s">
        <v>214</v>
      </c>
      <c r="E683" s="431" t="s">
        <v>1199</v>
      </c>
      <c r="F683" s="500" t="s">
        <v>199</v>
      </c>
      <c r="G683" s="500"/>
      <c r="H683" s="372" t="s">
        <v>22</v>
      </c>
      <c r="I683" s="373">
        <v>1</v>
      </c>
      <c r="J683" s="374">
        <v>37.9</v>
      </c>
      <c r="K683" s="374">
        <v>37.9</v>
      </c>
    </row>
    <row r="684" spans="2:11" ht="15" x14ac:dyDescent="0.25">
      <c r="B684" s="432"/>
      <c r="C684" s="432"/>
      <c r="D684" s="432"/>
      <c r="E684" s="432"/>
      <c r="F684" s="432"/>
      <c r="G684" s="375"/>
      <c r="H684" s="432"/>
      <c r="I684" s="375"/>
      <c r="J684" s="375"/>
      <c r="K684"/>
    </row>
    <row r="685" spans="2:11" ht="15.75" thickBot="1" x14ac:dyDescent="0.3">
      <c r="B685" s="432"/>
      <c r="C685" s="432"/>
      <c r="D685" s="432"/>
      <c r="E685" s="432"/>
      <c r="F685" s="432"/>
      <c r="G685" s="375"/>
      <c r="H685" s="432"/>
      <c r="I685" s="432"/>
      <c r="J685" s="375"/>
      <c r="K685"/>
    </row>
    <row r="686" spans="2:11" ht="13.5" thickTop="1" x14ac:dyDescent="0.25">
      <c r="B686" s="376"/>
      <c r="C686" s="376"/>
      <c r="D686" s="376"/>
      <c r="E686" s="376"/>
      <c r="F686" s="376"/>
      <c r="G686" s="376"/>
      <c r="H686" s="376"/>
      <c r="I686" s="376"/>
      <c r="J686" s="376"/>
      <c r="K686" s="376"/>
    </row>
    <row r="687" spans="2:11" ht="15" x14ac:dyDescent="0.25">
      <c r="B687" s="433" t="s">
        <v>1196</v>
      </c>
      <c r="C687" s="361" t="s">
        <v>0</v>
      </c>
      <c r="D687" s="433" t="s">
        <v>185</v>
      </c>
      <c r="E687" s="433" t="s">
        <v>83</v>
      </c>
      <c r="F687" s="498" t="s">
        <v>1</v>
      </c>
      <c r="G687" s="498"/>
      <c r="H687" s="362" t="s">
        <v>3</v>
      </c>
      <c r="I687" s="361" t="s">
        <v>186</v>
      </c>
      <c r="J687" s="361" t="s">
        <v>187</v>
      </c>
      <c r="K687" s="361" t="s">
        <v>4</v>
      </c>
    </row>
    <row r="688" spans="2:11" ht="25.5" x14ac:dyDescent="0.25">
      <c r="B688" s="434" t="s">
        <v>7</v>
      </c>
      <c r="C688" s="363" t="s">
        <v>1414</v>
      </c>
      <c r="D688" s="434" t="s">
        <v>1375</v>
      </c>
      <c r="E688" s="434" t="s">
        <v>1415</v>
      </c>
      <c r="F688" s="499" t="s">
        <v>1376</v>
      </c>
      <c r="G688" s="499"/>
      <c r="H688" s="364" t="s">
        <v>22</v>
      </c>
      <c r="I688" s="365">
        <v>1</v>
      </c>
      <c r="J688" s="366">
        <v>284.49</v>
      </c>
      <c r="K688" s="366">
        <v>284.49</v>
      </c>
    </row>
    <row r="689" spans="2:11" x14ac:dyDescent="0.25">
      <c r="B689" s="431" t="s">
        <v>190</v>
      </c>
      <c r="C689" s="371" t="s">
        <v>1608</v>
      </c>
      <c r="D689" s="431" t="s">
        <v>1375</v>
      </c>
      <c r="E689" s="431" t="s">
        <v>1609</v>
      </c>
      <c r="F689" s="500" t="s">
        <v>199</v>
      </c>
      <c r="G689" s="500"/>
      <c r="H689" s="372" t="s">
        <v>847</v>
      </c>
      <c r="I689" s="373">
        <v>2</v>
      </c>
      <c r="J689" s="374">
        <v>45.95</v>
      </c>
      <c r="K689" s="374">
        <v>91.9</v>
      </c>
    </row>
    <row r="690" spans="2:11" ht="25.5" x14ac:dyDescent="0.25">
      <c r="B690" s="431" t="s">
        <v>190</v>
      </c>
      <c r="C690" s="371" t="s">
        <v>1610</v>
      </c>
      <c r="D690" s="431" t="s">
        <v>1375</v>
      </c>
      <c r="E690" s="431" t="s">
        <v>1611</v>
      </c>
      <c r="F690" s="500" t="s">
        <v>199</v>
      </c>
      <c r="G690" s="500"/>
      <c r="H690" s="372" t="s">
        <v>847</v>
      </c>
      <c r="I690" s="373">
        <v>1</v>
      </c>
      <c r="J690" s="374">
        <v>120.95</v>
      </c>
      <c r="K690" s="374">
        <v>120.95</v>
      </c>
    </row>
    <row r="691" spans="2:11" x14ac:dyDescent="0.25">
      <c r="B691" s="431" t="s">
        <v>190</v>
      </c>
      <c r="C691" s="371" t="s">
        <v>1612</v>
      </c>
      <c r="D691" s="431" t="s">
        <v>1375</v>
      </c>
      <c r="E691" s="431" t="s">
        <v>1613</v>
      </c>
      <c r="F691" s="500" t="s">
        <v>199</v>
      </c>
      <c r="G691" s="500"/>
      <c r="H691" s="372" t="s">
        <v>847</v>
      </c>
      <c r="I691" s="373">
        <v>4</v>
      </c>
      <c r="J691" s="374">
        <v>1.71</v>
      </c>
      <c r="K691" s="374">
        <v>6.84</v>
      </c>
    </row>
    <row r="692" spans="2:11" x14ac:dyDescent="0.25">
      <c r="B692" s="431" t="s">
        <v>190</v>
      </c>
      <c r="C692" s="371" t="s">
        <v>1377</v>
      </c>
      <c r="D692" s="431" t="s">
        <v>1375</v>
      </c>
      <c r="E692" s="431" t="s">
        <v>1378</v>
      </c>
      <c r="F692" s="500" t="s">
        <v>191</v>
      </c>
      <c r="G692" s="500"/>
      <c r="H692" s="372" t="s">
        <v>32</v>
      </c>
      <c r="I692" s="373">
        <v>1.4</v>
      </c>
      <c r="J692" s="374">
        <v>19.559999999999999</v>
      </c>
      <c r="K692" s="374">
        <v>27.38</v>
      </c>
    </row>
    <row r="693" spans="2:11" x14ac:dyDescent="0.25">
      <c r="B693" s="431" t="s">
        <v>190</v>
      </c>
      <c r="C693" s="371" t="s">
        <v>1379</v>
      </c>
      <c r="D693" s="431" t="s">
        <v>1375</v>
      </c>
      <c r="E693" s="431" t="s">
        <v>1380</v>
      </c>
      <c r="F693" s="500" t="s">
        <v>191</v>
      </c>
      <c r="G693" s="500"/>
      <c r="H693" s="372" t="s">
        <v>32</v>
      </c>
      <c r="I693" s="373">
        <v>1.4</v>
      </c>
      <c r="J693" s="374">
        <v>26.73</v>
      </c>
      <c r="K693" s="374">
        <v>37.42</v>
      </c>
    </row>
    <row r="694" spans="2:11" ht="15" x14ac:dyDescent="0.25">
      <c r="B694" s="432"/>
      <c r="C694" s="432"/>
      <c r="D694" s="432"/>
      <c r="E694" s="432"/>
      <c r="F694" s="432"/>
      <c r="G694" s="375"/>
      <c r="H694" s="432"/>
      <c r="I694" s="375"/>
      <c r="J694" s="375"/>
      <c r="K694"/>
    </row>
    <row r="695" spans="2:11" ht="15.75" thickBot="1" x14ac:dyDescent="0.3">
      <c r="B695" s="432"/>
      <c r="C695" s="432"/>
      <c r="D695" s="432"/>
      <c r="E695" s="432"/>
      <c r="F695" s="432"/>
      <c r="G695" s="375"/>
      <c r="H695" s="432"/>
      <c r="I695" s="432"/>
      <c r="J695" s="375"/>
      <c r="K695"/>
    </row>
    <row r="696" spans="2:11" ht="13.5" thickTop="1" x14ac:dyDescent="0.25">
      <c r="B696" s="376"/>
      <c r="C696" s="376"/>
      <c r="D696" s="376"/>
      <c r="E696" s="376"/>
      <c r="F696" s="376"/>
      <c r="G696" s="376"/>
      <c r="H696" s="376"/>
      <c r="I696" s="376"/>
      <c r="J696" s="376"/>
      <c r="K696" s="376"/>
    </row>
    <row r="697" spans="2:11" ht="15" x14ac:dyDescent="0.25">
      <c r="B697" s="433" t="s">
        <v>1197</v>
      </c>
      <c r="C697" s="361" t="s">
        <v>0</v>
      </c>
      <c r="D697" s="433" t="s">
        <v>185</v>
      </c>
      <c r="E697" s="433" t="s">
        <v>83</v>
      </c>
      <c r="F697" s="498" t="s">
        <v>1</v>
      </c>
      <c r="G697" s="498"/>
      <c r="H697" s="362" t="s">
        <v>3</v>
      </c>
      <c r="I697" s="361" t="s">
        <v>186</v>
      </c>
      <c r="J697" s="361" t="s">
        <v>187</v>
      </c>
      <c r="K697" s="361" t="s">
        <v>4</v>
      </c>
    </row>
    <row r="698" spans="2:11" ht="25.5" x14ac:dyDescent="0.25">
      <c r="B698" s="434" t="s">
        <v>7</v>
      </c>
      <c r="C698" s="363" t="s">
        <v>1416</v>
      </c>
      <c r="D698" s="434" t="s">
        <v>31</v>
      </c>
      <c r="E698" s="434" t="s">
        <v>1417</v>
      </c>
      <c r="F698" s="499" t="s">
        <v>217</v>
      </c>
      <c r="G698" s="499"/>
      <c r="H698" s="364" t="s">
        <v>22</v>
      </c>
      <c r="I698" s="365">
        <v>1</v>
      </c>
      <c r="J698" s="366">
        <v>31.85</v>
      </c>
      <c r="K698" s="366">
        <v>31.85</v>
      </c>
    </row>
    <row r="699" spans="2:11" ht="38.25" x14ac:dyDescent="0.25">
      <c r="B699" s="430" t="s">
        <v>189</v>
      </c>
      <c r="C699" s="367" t="s">
        <v>218</v>
      </c>
      <c r="D699" s="430" t="s">
        <v>31</v>
      </c>
      <c r="E699" s="430" t="s">
        <v>219</v>
      </c>
      <c r="F699" s="497" t="s">
        <v>188</v>
      </c>
      <c r="G699" s="497"/>
      <c r="H699" s="368" t="s">
        <v>32</v>
      </c>
      <c r="I699" s="369">
        <v>0.1033</v>
      </c>
      <c r="J699" s="370">
        <v>18.48</v>
      </c>
      <c r="K699" s="370">
        <v>1.9</v>
      </c>
    </row>
    <row r="700" spans="2:11" ht="38.25" x14ac:dyDescent="0.25">
      <c r="B700" s="430" t="s">
        <v>189</v>
      </c>
      <c r="C700" s="367" t="s">
        <v>220</v>
      </c>
      <c r="D700" s="430" t="s">
        <v>31</v>
      </c>
      <c r="E700" s="430" t="s">
        <v>221</v>
      </c>
      <c r="F700" s="497" t="s">
        <v>188</v>
      </c>
      <c r="G700" s="497"/>
      <c r="H700" s="368" t="s">
        <v>32</v>
      </c>
      <c r="I700" s="369">
        <v>0.24779999999999999</v>
      </c>
      <c r="J700" s="370">
        <v>22.58</v>
      </c>
      <c r="K700" s="370">
        <v>5.59</v>
      </c>
    </row>
    <row r="701" spans="2:11" ht="38.25" x14ac:dyDescent="0.25">
      <c r="B701" s="431" t="s">
        <v>190</v>
      </c>
      <c r="C701" s="371" t="s">
        <v>1614</v>
      </c>
      <c r="D701" s="431" t="s">
        <v>31</v>
      </c>
      <c r="E701" s="431" t="s">
        <v>1615</v>
      </c>
      <c r="F701" s="500" t="s">
        <v>199</v>
      </c>
      <c r="G701" s="500"/>
      <c r="H701" s="372" t="s">
        <v>22</v>
      </c>
      <c r="I701" s="373">
        <v>1</v>
      </c>
      <c r="J701" s="374">
        <v>18.98</v>
      </c>
      <c r="K701" s="374">
        <v>18.98</v>
      </c>
    </row>
    <row r="702" spans="2:11" ht="38.25" x14ac:dyDescent="0.25">
      <c r="B702" s="431" t="s">
        <v>190</v>
      </c>
      <c r="C702" s="371" t="s">
        <v>1616</v>
      </c>
      <c r="D702" s="431" t="s">
        <v>31</v>
      </c>
      <c r="E702" s="431" t="s">
        <v>1617</v>
      </c>
      <c r="F702" s="500" t="s">
        <v>199</v>
      </c>
      <c r="G702" s="500"/>
      <c r="H702" s="372" t="s">
        <v>22</v>
      </c>
      <c r="I702" s="373">
        <v>2</v>
      </c>
      <c r="J702" s="374">
        <v>2.69</v>
      </c>
      <c r="K702" s="374">
        <v>5.38</v>
      </c>
    </row>
    <row r="703" spans="2:11" ht="15" x14ac:dyDescent="0.25">
      <c r="B703" s="432"/>
      <c r="C703" s="432"/>
      <c r="D703" s="432"/>
      <c r="E703" s="432"/>
      <c r="F703" s="432"/>
      <c r="G703" s="375"/>
      <c r="H703" s="432"/>
      <c r="I703" s="375"/>
      <c r="J703" s="375"/>
      <c r="K703"/>
    </row>
    <row r="704" spans="2:11" ht="15.75" thickBot="1" x14ac:dyDescent="0.3">
      <c r="B704" s="432"/>
      <c r="C704" s="432"/>
      <c r="D704" s="432"/>
      <c r="E704" s="432"/>
      <c r="F704" s="432"/>
      <c r="G704" s="375"/>
      <c r="H704" s="432"/>
      <c r="I704" s="432"/>
      <c r="J704" s="375"/>
      <c r="K704"/>
    </row>
    <row r="705" spans="2:11" ht="13.5" thickTop="1" x14ac:dyDescent="0.25">
      <c r="B705" s="376"/>
      <c r="C705" s="376"/>
      <c r="D705" s="376"/>
      <c r="E705" s="376"/>
      <c r="F705" s="376"/>
      <c r="G705" s="376"/>
      <c r="H705" s="376"/>
      <c r="I705" s="376"/>
      <c r="J705" s="376"/>
      <c r="K705" s="376"/>
    </row>
    <row r="706" spans="2:11" ht="15" x14ac:dyDescent="0.25">
      <c r="B706" s="433" t="s">
        <v>1200</v>
      </c>
      <c r="C706" s="361" t="s">
        <v>0</v>
      </c>
      <c r="D706" s="433" t="s">
        <v>185</v>
      </c>
      <c r="E706" s="433" t="s">
        <v>83</v>
      </c>
      <c r="F706" s="498" t="s">
        <v>1</v>
      </c>
      <c r="G706" s="498"/>
      <c r="H706" s="362" t="s">
        <v>3</v>
      </c>
      <c r="I706" s="361" t="s">
        <v>186</v>
      </c>
      <c r="J706" s="361" t="s">
        <v>187</v>
      </c>
      <c r="K706" s="361" t="s">
        <v>4</v>
      </c>
    </row>
    <row r="707" spans="2:11" ht="38.25" x14ac:dyDescent="0.25">
      <c r="B707" s="434" t="s">
        <v>7</v>
      </c>
      <c r="C707" s="363" t="s">
        <v>968</v>
      </c>
      <c r="D707" s="434" t="s">
        <v>31</v>
      </c>
      <c r="E707" s="434" t="s">
        <v>969</v>
      </c>
      <c r="F707" s="499" t="s">
        <v>217</v>
      </c>
      <c r="G707" s="499"/>
      <c r="H707" s="364" t="s">
        <v>22</v>
      </c>
      <c r="I707" s="365">
        <v>1</v>
      </c>
      <c r="J707" s="366">
        <v>659.69</v>
      </c>
      <c r="K707" s="366">
        <v>659.69</v>
      </c>
    </row>
    <row r="708" spans="2:11" ht="38.25" x14ac:dyDescent="0.25">
      <c r="B708" s="430" t="s">
        <v>189</v>
      </c>
      <c r="C708" s="367" t="s">
        <v>1201</v>
      </c>
      <c r="D708" s="430" t="s">
        <v>31</v>
      </c>
      <c r="E708" s="430" t="s">
        <v>1202</v>
      </c>
      <c r="F708" s="497" t="s">
        <v>188</v>
      </c>
      <c r="G708" s="497"/>
      <c r="H708" s="368" t="s">
        <v>8</v>
      </c>
      <c r="I708" s="369">
        <v>1.44E-2</v>
      </c>
      <c r="J708" s="370">
        <v>581.86</v>
      </c>
      <c r="K708" s="370">
        <v>8.3699999999999992</v>
      </c>
    </row>
    <row r="709" spans="2:11" ht="38.25" x14ac:dyDescent="0.25">
      <c r="B709" s="430" t="s">
        <v>189</v>
      </c>
      <c r="C709" s="367" t="s">
        <v>218</v>
      </c>
      <c r="D709" s="430" t="s">
        <v>31</v>
      </c>
      <c r="E709" s="430" t="s">
        <v>219</v>
      </c>
      <c r="F709" s="497" t="s">
        <v>188</v>
      </c>
      <c r="G709" s="497"/>
      <c r="H709" s="368" t="s">
        <v>32</v>
      </c>
      <c r="I709" s="369">
        <v>0.53459999999999996</v>
      </c>
      <c r="J709" s="370">
        <v>18.48</v>
      </c>
      <c r="K709" s="370">
        <v>9.8699999999999992</v>
      </c>
    </row>
    <row r="710" spans="2:11" ht="38.25" x14ac:dyDescent="0.25">
      <c r="B710" s="430" t="s">
        <v>189</v>
      </c>
      <c r="C710" s="367" t="s">
        <v>220</v>
      </c>
      <c r="D710" s="430" t="s">
        <v>31</v>
      </c>
      <c r="E710" s="430" t="s">
        <v>221</v>
      </c>
      <c r="F710" s="497" t="s">
        <v>188</v>
      </c>
      <c r="G710" s="497"/>
      <c r="H710" s="368" t="s">
        <v>32</v>
      </c>
      <c r="I710" s="369">
        <v>0.53459999999999996</v>
      </c>
      <c r="J710" s="370">
        <v>22.58</v>
      </c>
      <c r="K710" s="370">
        <v>12.07</v>
      </c>
    </row>
    <row r="711" spans="2:11" ht="38.25" x14ac:dyDescent="0.25">
      <c r="B711" s="431" t="s">
        <v>190</v>
      </c>
      <c r="C711" s="371" t="s">
        <v>1203</v>
      </c>
      <c r="D711" s="431" t="s">
        <v>31</v>
      </c>
      <c r="E711" s="431" t="s">
        <v>1204</v>
      </c>
      <c r="F711" s="500" t="s">
        <v>199</v>
      </c>
      <c r="G711" s="500"/>
      <c r="H711" s="372" t="s">
        <v>22</v>
      </c>
      <c r="I711" s="373">
        <v>1</v>
      </c>
      <c r="J711" s="374">
        <v>629.38</v>
      </c>
      <c r="K711" s="374">
        <v>629.38</v>
      </c>
    </row>
    <row r="712" spans="2:11" ht="15" x14ac:dyDescent="0.25">
      <c r="B712" s="432"/>
      <c r="C712" s="432"/>
      <c r="D712" s="432"/>
      <c r="E712" s="432"/>
      <c r="F712" s="432"/>
      <c r="G712" s="375"/>
      <c r="H712" s="432"/>
      <c r="I712" s="375"/>
      <c r="J712" s="375"/>
      <c r="K712"/>
    </row>
    <row r="713" spans="2:11" ht="15.75" thickBot="1" x14ac:dyDescent="0.3">
      <c r="B713" s="432"/>
      <c r="C713" s="432"/>
      <c r="D713" s="432"/>
      <c r="E713" s="432"/>
      <c r="F713" s="432"/>
      <c r="G713" s="375"/>
      <c r="H713" s="432"/>
      <c r="I713" s="432"/>
      <c r="J713" s="375"/>
      <c r="K713"/>
    </row>
    <row r="714" spans="2:11" ht="13.5" thickTop="1" x14ac:dyDescent="0.25">
      <c r="B714" s="376"/>
      <c r="C714" s="376"/>
      <c r="D714" s="376"/>
      <c r="E714" s="376"/>
      <c r="F714" s="376"/>
      <c r="G714" s="376"/>
      <c r="H714" s="376"/>
      <c r="I714" s="376"/>
      <c r="J714" s="376"/>
      <c r="K714" s="376"/>
    </row>
    <row r="715" spans="2:11" ht="15" x14ac:dyDescent="0.25">
      <c r="B715" s="433" t="s">
        <v>1205</v>
      </c>
      <c r="C715" s="361" t="s">
        <v>0</v>
      </c>
      <c r="D715" s="433" t="s">
        <v>185</v>
      </c>
      <c r="E715" s="433" t="s">
        <v>83</v>
      </c>
      <c r="F715" s="498" t="s">
        <v>1</v>
      </c>
      <c r="G715" s="498"/>
      <c r="H715" s="362" t="s">
        <v>3</v>
      </c>
      <c r="I715" s="361" t="s">
        <v>186</v>
      </c>
      <c r="J715" s="361" t="s">
        <v>187</v>
      </c>
      <c r="K715" s="361" t="s">
        <v>4</v>
      </c>
    </row>
    <row r="716" spans="2:11" ht="51" x14ac:dyDescent="0.25">
      <c r="B716" s="434" t="s">
        <v>7</v>
      </c>
      <c r="C716" s="363" t="s">
        <v>1280</v>
      </c>
      <c r="D716" s="434" t="s">
        <v>125</v>
      </c>
      <c r="E716" s="434" t="s">
        <v>1276</v>
      </c>
      <c r="F716" s="499" t="s">
        <v>1182</v>
      </c>
      <c r="G716" s="499"/>
      <c r="H716" s="364" t="s">
        <v>22</v>
      </c>
      <c r="I716" s="365">
        <v>1</v>
      </c>
      <c r="J716" s="366">
        <v>16702.580000000002</v>
      </c>
      <c r="K716" s="366">
        <v>16702.580000000002</v>
      </c>
    </row>
    <row r="717" spans="2:11" ht="38.25" x14ac:dyDescent="0.25">
      <c r="B717" s="430" t="s">
        <v>189</v>
      </c>
      <c r="C717" s="367" t="s">
        <v>220</v>
      </c>
      <c r="D717" s="430" t="s">
        <v>31</v>
      </c>
      <c r="E717" s="430" t="s">
        <v>221</v>
      </c>
      <c r="F717" s="497" t="s">
        <v>188</v>
      </c>
      <c r="G717" s="497"/>
      <c r="H717" s="368" t="s">
        <v>32</v>
      </c>
      <c r="I717" s="369">
        <v>9</v>
      </c>
      <c r="J717" s="370">
        <v>22.58</v>
      </c>
      <c r="K717" s="370">
        <v>203.22</v>
      </c>
    </row>
    <row r="718" spans="2:11" ht="38.25" x14ac:dyDescent="0.25">
      <c r="B718" s="430" t="s">
        <v>189</v>
      </c>
      <c r="C718" s="367" t="s">
        <v>218</v>
      </c>
      <c r="D718" s="430" t="s">
        <v>31</v>
      </c>
      <c r="E718" s="430" t="s">
        <v>219</v>
      </c>
      <c r="F718" s="497" t="s">
        <v>188</v>
      </c>
      <c r="G718" s="497"/>
      <c r="H718" s="368" t="s">
        <v>32</v>
      </c>
      <c r="I718" s="369">
        <v>10</v>
      </c>
      <c r="J718" s="370">
        <v>18.48</v>
      </c>
      <c r="K718" s="370">
        <v>184.8</v>
      </c>
    </row>
    <row r="719" spans="2:11" ht="76.5" x14ac:dyDescent="0.25">
      <c r="B719" s="431" t="s">
        <v>190</v>
      </c>
      <c r="C719" s="371" t="s">
        <v>1325</v>
      </c>
      <c r="D719" s="431" t="s">
        <v>125</v>
      </c>
      <c r="E719" s="431" t="s">
        <v>1618</v>
      </c>
      <c r="F719" s="500" t="s">
        <v>192</v>
      </c>
      <c r="G719" s="500"/>
      <c r="H719" s="372" t="s">
        <v>22</v>
      </c>
      <c r="I719" s="373">
        <v>1</v>
      </c>
      <c r="J719" s="374">
        <v>16314.56</v>
      </c>
      <c r="K719" s="374">
        <v>16314.56</v>
      </c>
    </row>
    <row r="720" spans="2:11" ht="15" x14ac:dyDescent="0.25">
      <c r="B720" s="432"/>
      <c r="C720" s="432"/>
      <c r="D720" s="432"/>
      <c r="E720" s="432"/>
      <c r="F720" s="432"/>
      <c r="G720" s="375"/>
      <c r="H720" s="432"/>
      <c r="I720" s="375"/>
      <c r="J720" s="375"/>
      <c r="K720"/>
    </row>
    <row r="721" spans="2:11" ht="15.75" thickBot="1" x14ac:dyDescent="0.3">
      <c r="B721" s="432"/>
      <c r="C721" s="432"/>
      <c r="D721" s="432"/>
      <c r="E721" s="432"/>
      <c r="F721" s="432"/>
      <c r="G721" s="375"/>
      <c r="H721" s="432"/>
      <c r="I721" s="432"/>
      <c r="J721" s="375"/>
      <c r="K721"/>
    </row>
    <row r="722" spans="2:11" ht="13.5" thickTop="1" x14ac:dyDescent="0.25">
      <c r="B722" s="376"/>
      <c r="C722" s="376"/>
      <c r="D722" s="376"/>
      <c r="E722" s="376"/>
      <c r="F722" s="376"/>
      <c r="G722" s="376"/>
      <c r="H722" s="376"/>
      <c r="I722" s="376"/>
      <c r="J722" s="376"/>
      <c r="K722" s="376"/>
    </row>
    <row r="723" spans="2:11" ht="15" x14ac:dyDescent="0.25">
      <c r="B723" s="433" t="s">
        <v>1619</v>
      </c>
      <c r="C723" s="361" t="s">
        <v>0</v>
      </c>
      <c r="D723" s="433" t="s">
        <v>185</v>
      </c>
      <c r="E723" s="433" t="s">
        <v>83</v>
      </c>
      <c r="F723" s="498" t="s">
        <v>1</v>
      </c>
      <c r="G723" s="498"/>
      <c r="H723" s="362" t="s">
        <v>3</v>
      </c>
      <c r="I723" s="361" t="s">
        <v>186</v>
      </c>
      <c r="J723" s="361" t="s">
        <v>187</v>
      </c>
      <c r="K723" s="361" t="s">
        <v>4</v>
      </c>
    </row>
    <row r="724" spans="2:11" ht="51" x14ac:dyDescent="0.25">
      <c r="B724" s="434" t="s">
        <v>7</v>
      </c>
      <c r="C724" s="363" t="s">
        <v>1290</v>
      </c>
      <c r="D724" s="434" t="s">
        <v>125</v>
      </c>
      <c r="E724" s="434" t="s">
        <v>1291</v>
      </c>
      <c r="F724" s="499" t="s">
        <v>1182</v>
      </c>
      <c r="G724" s="499"/>
      <c r="H724" s="364" t="s">
        <v>22</v>
      </c>
      <c r="I724" s="365">
        <v>1</v>
      </c>
      <c r="J724" s="366">
        <v>2425.2800000000002</v>
      </c>
      <c r="K724" s="366">
        <v>2425.2800000000002</v>
      </c>
    </row>
    <row r="725" spans="2:11" ht="38.25" x14ac:dyDescent="0.25">
      <c r="B725" s="430" t="s">
        <v>189</v>
      </c>
      <c r="C725" s="367" t="s">
        <v>1201</v>
      </c>
      <c r="D725" s="430" t="s">
        <v>31</v>
      </c>
      <c r="E725" s="430" t="s">
        <v>1202</v>
      </c>
      <c r="F725" s="497" t="s">
        <v>188</v>
      </c>
      <c r="G725" s="497"/>
      <c r="H725" s="368" t="s">
        <v>8</v>
      </c>
      <c r="I725" s="369">
        <v>1.34E-2</v>
      </c>
      <c r="J725" s="370">
        <v>581.86</v>
      </c>
      <c r="K725" s="370">
        <v>7.79</v>
      </c>
    </row>
    <row r="726" spans="2:11" ht="38.25" x14ac:dyDescent="0.25">
      <c r="B726" s="430" t="s">
        <v>189</v>
      </c>
      <c r="C726" s="367" t="s">
        <v>218</v>
      </c>
      <c r="D726" s="430" t="s">
        <v>31</v>
      </c>
      <c r="E726" s="430" t="s">
        <v>219</v>
      </c>
      <c r="F726" s="497" t="s">
        <v>188</v>
      </c>
      <c r="G726" s="497"/>
      <c r="H726" s="368" t="s">
        <v>32</v>
      </c>
      <c r="I726" s="369">
        <v>0.53349999999999997</v>
      </c>
      <c r="J726" s="370">
        <v>18.48</v>
      </c>
      <c r="K726" s="370">
        <v>9.85</v>
      </c>
    </row>
    <row r="727" spans="2:11" ht="38.25" x14ac:dyDescent="0.25">
      <c r="B727" s="430" t="s">
        <v>189</v>
      </c>
      <c r="C727" s="367" t="s">
        <v>220</v>
      </c>
      <c r="D727" s="430" t="s">
        <v>31</v>
      </c>
      <c r="E727" s="430" t="s">
        <v>221</v>
      </c>
      <c r="F727" s="497" t="s">
        <v>188</v>
      </c>
      <c r="G727" s="497"/>
      <c r="H727" s="368" t="s">
        <v>32</v>
      </c>
      <c r="I727" s="369">
        <v>0.53349999999999997</v>
      </c>
      <c r="J727" s="370">
        <v>22.58</v>
      </c>
      <c r="K727" s="370">
        <v>12.04</v>
      </c>
    </row>
    <row r="728" spans="2:11" ht="38.25" x14ac:dyDescent="0.25">
      <c r="B728" s="431" t="s">
        <v>190</v>
      </c>
      <c r="C728" s="371" t="s">
        <v>1330</v>
      </c>
      <c r="D728" s="431" t="s">
        <v>31</v>
      </c>
      <c r="E728" s="431" t="s">
        <v>1331</v>
      </c>
      <c r="F728" s="500" t="s">
        <v>199</v>
      </c>
      <c r="G728" s="500"/>
      <c r="H728" s="372" t="s">
        <v>22</v>
      </c>
      <c r="I728" s="373">
        <v>4</v>
      </c>
      <c r="J728" s="374">
        <v>598.9</v>
      </c>
      <c r="K728" s="374">
        <v>2395.6</v>
      </c>
    </row>
    <row r="729" spans="2:11" ht="15" x14ac:dyDescent="0.25">
      <c r="B729" s="432"/>
      <c r="C729" s="432"/>
      <c r="D729" s="432"/>
      <c r="E729" s="432"/>
      <c r="F729" s="432"/>
      <c r="G729" s="375"/>
      <c r="H729" s="432"/>
      <c r="I729" s="375"/>
      <c r="J729" s="375"/>
      <c r="K729"/>
    </row>
    <row r="730" spans="2:11" ht="15.75" thickBot="1" x14ac:dyDescent="0.3">
      <c r="B730" s="432"/>
      <c r="C730" s="432"/>
      <c r="D730" s="432"/>
      <c r="E730" s="432"/>
      <c r="F730" s="432"/>
      <c r="G730" s="375"/>
      <c r="H730" s="432"/>
      <c r="I730" s="432"/>
      <c r="J730" s="375"/>
      <c r="K730"/>
    </row>
    <row r="731" spans="2:11" ht="13.5" thickTop="1" x14ac:dyDescent="0.25">
      <c r="B731" s="376"/>
      <c r="C731" s="376"/>
      <c r="D731" s="376"/>
      <c r="E731" s="376"/>
      <c r="F731" s="376"/>
      <c r="G731" s="376"/>
      <c r="H731" s="376"/>
      <c r="I731" s="376"/>
      <c r="J731" s="376"/>
      <c r="K731" s="376"/>
    </row>
    <row r="732" spans="2:11" ht="15" x14ac:dyDescent="0.25">
      <c r="B732" s="433" t="s">
        <v>1620</v>
      </c>
      <c r="C732" s="361" t="s">
        <v>0</v>
      </c>
      <c r="D732" s="433" t="s">
        <v>185</v>
      </c>
      <c r="E732" s="433" t="s">
        <v>83</v>
      </c>
      <c r="F732" s="498" t="s">
        <v>1</v>
      </c>
      <c r="G732" s="498"/>
      <c r="H732" s="362" t="s">
        <v>3</v>
      </c>
      <c r="I732" s="361" t="s">
        <v>186</v>
      </c>
      <c r="J732" s="361" t="s">
        <v>187</v>
      </c>
      <c r="K732" s="361" t="s">
        <v>4</v>
      </c>
    </row>
    <row r="733" spans="2:11" ht="51" x14ac:dyDescent="0.25">
      <c r="B733" s="434" t="s">
        <v>7</v>
      </c>
      <c r="C733" s="363" t="s">
        <v>1292</v>
      </c>
      <c r="D733" s="434" t="s">
        <v>125</v>
      </c>
      <c r="E733" s="434" t="s">
        <v>1293</v>
      </c>
      <c r="F733" s="499" t="s">
        <v>1182</v>
      </c>
      <c r="G733" s="499"/>
      <c r="H733" s="364" t="s">
        <v>22</v>
      </c>
      <c r="I733" s="365">
        <v>1</v>
      </c>
      <c r="J733" s="366">
        <v>2547.7800000000002</v>
      </c>
      <c r="K733" s="366">
        <v>2547.7800000000002</v>
      </c>
    </row>
    <row r="734" spans="2:11" ht="38.25" x14ac:dyDescent="0.25">
      <c r="B734" s="430" t="s">
        <v>189</v>
      </c>
      <c r="C734" s="367" t="s">
        <v>1201</v>
      </c>
      <c r="D734" s="430" t="s">
        <v>31</v>
      </c>
      <c r="E734" s="430" t="s">
        <v>1202</v>
      </c>
      <c r="F734" s="497" t="s">
        <v>188</v>
      </c>
      <c r="G734" s="497"/>
      <c r="H734" s="368" t="s">
        <v>8</v>
      </c>
      <c r="I734" s="369">
        <v>1.44E-2</v>
      </c>
      <c r="J734" s="370">
        <v>581.86</v>
      </c>
      <c r="K734" s="370">
        <v>8.3699999999999992</v>
      </c>
    </row>
    <row r="735" spans="2:11" ht="38.25" x14ac:dyDescent="0.25">
      <c r="B735" s="430" t="s">
        <v>189</v>
      </c>
      <c r="C735" s="367" t="s">
        <v>218</v>
      </c>
      <c r="D735" s="430" t="s">
        <v>31</v>
      </c>
      <c r="E735" s="430" t="s">
        <v>219</v>
      </c>
      <c r="F735" s="497" t="s">
        <v>188</v>
      </c>
      <c r="G735" s="497"/>
      <c r="H735" s="368" t="s">
        <v>32</v>
      </c>
      <c r="I735" s="369">
        <v>0.53349999999999997</v>
      </c>
      <c r="J735" s="370">
        <v>18.48</v>
      </c>
      <c r="K735" s="370">
        <v>9.85</v>
      </c>
    </row>
    <row r="736" spans="2:11" ht="38.25" x14ac:dyDescent="0.25">
      <c r="B736" s="430" t="s">
        <v>189</v>
      </c>
      <c r="C736" s="367" t="s">
        <v>220</v>
      </c>
      <c r="D736" s="430" t="s">
        <v>31</v>
      </c>
      <c r="E736" s="430" t="s">
        <v>221</v>
      </c>
      <c r="F736" s="497" t="s">
        <v>188</v>
      </c>
      <c r="G736" s="497"/>
      <c r="H736" s="368" t="s">
        <v>32</v>
      </c>
      <c r="I736" s="369">
        <v>0.53349999999999997</v>
      </c>
      <c r="J736" s="370">
        <v>22.58</v>
      </c>
      <c r="K736" s="370">
        <v>12.04</v>
      </c>
    </row>
    <row r="737" spans="2:11" ht="38.25" x14ac:dyDescent="0.25">
      <c r="B737" s="431" t="s">
        <v>190</v>
      </c>
      <c r="C737" s="371" t="s">
        <v>1203</v>
      </c>
      <c r="D737" s="431" t="s">
        <v>31</v>
      </c>
      <c r="E737" s="431" t="s">
        <v>1204</v>
      </c>
      <c r="F737" s="500" t="s">
        <v>199</v>
      </c>
      <c r="G737" s="500"/>
      <c r="H737" s="372" t="s">
        <v>22</v>
      </c>
      <c r="I737" s="373">
        <v>4</v>
      </c>
      <c r="J737" s="374">
        <v>629.38</v>
      </c>
      <c r="K737" s="374">
        <v>2517.52</v>
      </c>
    </row>
    <row r="738" spans="2:11" ht="15" x14ac:dyDescent="0.25">
      <c r="B738" s="432"/>
      <c r="C738" s="432"/>
      <c r="D738" s="432"/>
      <c r="E738" s="432"/>
      <c r="F738" s="432"/>
      <c r="G738" s="375"/>
      <c r="H738" s="432"/>
      <c r="I738" s="375"/>
      <c r="J738" s="375"/>
      <c r="K738"/>
    </row>
    <row r="739" spans="2:11" ht="15.75" thickBot="1" x14ac:dyDescent="0.3">
      <c r="B739" s="432"/>
      <c r="C739" s="432"/>
      <c r="D739" s="432"/>
      <c r="E739" s="432"/>
      <c r="F739" s="432"/>
      <c r="G739" s="375"/>
      <c r="H739" s="432"/>
      <c r="I739" s="432"/>
      <c r="J739" s="375"/>
      <c r="K739"/>
    </row>
    <row r="740" spans="2:11" ht="13.5" thickTop="1" x14ac:dyDescent="0.25">
      <c r="B740" s="376"/>
      <c r="C740" s="376"/>
      <c r="D740" s="376"/>
      <c r="E740" s="376"/>
      <c r="F740" s="376"/>
      <c r="G740" s="376"/>
      <c r="H740" s="376"/>
      <c r="I740" s="376"/>
      <c r="J740" s="376"/>
      <c r="K740" s="376"/>
    </row>
    <row r="741" spans="2:11" ht="15" x14ac:dyDescent="0.25">
      <c r="B741" s="433" t="s">
        <v>1621</v>
      </c>
      <c r="C741" s="361" t="s">
        <v>0</v>
      </c>
      <c r="D741" s="433" t="s">
        <v>185</v>
      </c>
      <c r="E741" s="433" t="s">
        <v>83</v>
      </c>
      <c r="F741" s="498" t="s">
        <v>1</v>
      </c>
      <c r="G741" s="498"/>
      <c r="H741" s="362" t="s">
        <v>3</v>
      </c>
      <c r="I741" s="361" t="s">
        <v>186</v>
      </c>
      <c r="J741" s="361" t="s">
        <v>187</v>
      </c>
      <c r="K741" s="361" t="s">
        <v>4</v>
      </c>
    </row>
    <row r="742" spans="2:11" ht="51" x14ac:dyDescent="0.25">
      <c r="B742" s="434" t="s">
        <v>7</v>
      </c>
      <c r="C742" s="363" t="s">
        <v>1360</v>
      </c>
      <c r="D742" s="434" t="s">
        <v>125</v>
      </c>
      <c r="E742" s="434" t="s">
        <v>1361</v>
      </c>
      <c r="F742" s="499" t="s">
        <v>1182</v>
      </c>
      <c r="G742" s="499"/>
      <c r="H742" s="364" t="s">
        <v>22</v>
      </c>
      <c r="I742" s="365">
        <v>1</v>
      </c>
      <c r="J742" s="366">
        <v>917.53</v>
      </c>
      <c r="K742" s="366">
        <v>917.53</v>
      </c>
    </row>
    <row r="743" spans="2:11" ht="38.25" x14ac:dyDescent="0.25">
      <c r="B743" s="430" t="s">
        <v>189</v>
      </c>
      <c r="C743" s="367" t="s">
        <v>1201</v>
      </c>
      <c r="D743" s="430" t="s">
        <v>31</v>
      </c>
      <c r="E743" s="430" t="s">
        <v>1202</v>
      </c>
      <c r="F743" s="497" t="s">
        <v>188</v>
      </c>
      <c r="G743" s="497"/>
      <c r="H743" s="368" t="s">
        <v>8</v>
      </c>
      <c r="I743" s="369">
        <v>1.44E-2</v>
      </c>
      <c r="J743" s="370">
        <v>581.86</v>
      </c>
      <c r="K743" s="370">
        <v>8.3699999999999992</v>
      </c>
    </row>
    <row r="744" spans="2:11" ht="38.25" x14ac:dyDescent="0.25">
      <c r="B744" s="430" t="s">
        <v>189</v>
      </c>
      <c r="C744" s="367" t="s">
        <v>220</v>
      </c>
      <c r="D744" s="430" t="s">
        <v>31</v>
      </c>
      <c r="E744" s="430" t="s">
        <v>221</v>
      </c>
      <c r="F744" s="497" t="s">
        <v>188</v>
      </c>
      <c r="G744" s="497"/>
      <c r="H744" s="368" t="s">
        <v>32</v>
      </c>
      <c r="I744" s="369">
        <v>0.53459999999999996</v>
      </c>
      <c r="J744" s="370">
        <v>22.58</v>
      </c>
      <c r="K744" s="370">
        <v>12.07</v>
      </c>
    </row>
    <row r="745" spans="2:11" ht="38.25" x14ac:dyDescent="0.25">
      <c r="B745" s="430" t="s">
        <v>189</v>
      </c>
      <c r="C745" s="367" t="s">
        <v>218</v>
      </c>
      <c r="D745" s="430" t="s">
        <v>31</v>
      </c>
      <c r="E745" s="430" t="s">
        <v>219</v>
      </c>
      <c r="F745" s="497" t="s">
        <v>188</v>
      </c>
      <c r="G745" s="497"/>
      <c r="H745" s="368" t="s">
        <v>32</v>
      </c>
      <c r="I745" s="369">
        <v>0.53459999999999996</v>
      </c>
      <c r="J745" s="370">
        <v>18.48</v>
      </c>
      <c r="K745" s="370">
        <v>9.8699999999999992</v>
      </c>
    </row>
    <row r="746" spans="2:11" ht="38.25" x14ac:dyDescent="0.25">
      <c r="B746" s="431" t="s">
        <v>190</v>
      </c>
      <c r="C746" s="371" t="s">
        <v>1366</v>
      </c>
      <c r="D746" s="431" t="s">
        <v>31</v>
      </c>
      <c r="E746" s="431" t="s">
        <v>1367</v>
      </c>
      <c r="F746" s="500" t="s">
        <v>199</v>
      </c>
      <c r="G746" s="500"/>
      <c r="H746" s="372" t="s">
        <v>22</v>
      </c>
      <c r="I746" s="373">
        <v>2</v>
      </c>
      <c r="J746" s="374">
        <v>443.61</v>
      </c>
      <c r="K746" s="374">
        <v>887.22</v>
      </c>
    </row>
    <row r="747" spans="2:11" ht="15" x14ac:dyDescent="0.25">
      <c r="B747" s="432"/>
      <c r="C747" s="432"/>
      <c r="D747" s="432"/>
      <c r="E747" s="432"/>
      <c r="F747" s="432"/>
      <c r="G747" s="375"/>
      <c r="H747" s="432"/>
      <c r="I747" s="375"/>
      <c r="J747" s="375"/>
      <c r="K747"/>
    </row>
    <row r="748" spans="2:11" ht="15.75" thickBot="1" x14ac:dyDescent="0.3">
      <c r="B748" s="432"/>
      <c r="C748" s="432"/>
      <c r="D748" s="432"/>
      <c r="E748" s="432"/>
      <c r="F748" s="432"/>
      <c r="G748" s="375"/>
      <c r="H748" s="432"/>
      <c r="I748" s="432"/>
      <c r="J748" s="375"/>
      <c r="K748"/>
    </row>
    <row r="749" spans="2:11" ht="13.5" thickTop="1" x14ac:dyDescent="0.25">
      <c r="B749" s="376"/>
      <c r="C749" s="376"/>
      <c r="D749" s="376"/>
      <c r="E749" s="376"/>
      <c r="F749" s="376"/>
      <c r="G749" s="376"/>
      <c r="H749" s="376"/>
      <c r="I749" s="376"/>
      <c r="J749" s="376"/>
      <c r="K749" s="376"/>
    </row>
    <row r="750" spans="2:11" ht="15" x14ac:dyDescent="0.25">
      <c r="B750" s="433" t="s">
        <v>1672</v>
      </c>
      <c r="C750" s="361" t="s">
        <v>0</v>
      </c>
      <c r="D750" s="433" t="s">
        <v>185</v>
      </c>
      <c r="E750" s="433" t="s">
        <v>83</v>
      </c>
      <c r="F750" s="498" t="s">
        <v>1</v>
      </c>
      <c r="G750" s="498"/>
      <c r="H750" s="362" t="s">
        <v>3</v>
      </c>
      <c r="I750" s="361" t="s">
        <v>186</v>
      </c>
      <c r="J750" s="361" t="s">
        <v>187</v>
      </c>
      <c r="K750" s="361" t="s">
        <v>4</v>
      </c>
    </row>
    <row r="751" spans="2:11" ht="38.25" x14ac:dyDescent="0.25">
      <c r="B751" s="434" t="s">
        <v>7</v>
      </c>
      <c r="C751" s="363" t="s">
        <v>1395</v>
      </c>
      <c r="D751" s="434" t="s">
        <v>1396</v>
      </c>
      <c r="E751" s="434" t="s">
        <v>1397</v>
      </c>
      <c r="F751" s="499">
        <v>15</v>
      </c>
      <c r="G751" s="499"/>
      <c r="H751" s="364" t="s">
        <v>22</v>
      </c>
      <c r="I751" s="365">
        <v>1</v>
      </c>
      <c r="J751" s="366">
        <v>59.95</v>
      </c>
      <c r="K751" s="366">
        <v>59.95</v>
      </c>
    </row>
    <row r="752" spans="2:11" ht="25.5" x14ac:dyDescent="0.25">
      <c r="B752" s="431" t="s">
        <v>190</v>
      </c>
      <c r="C752" s="371" t="s">
        <v>1641</v>
      </c>
      <c r="D752" s="431" t="s">
        <v>1396</v>
      </c>
      <c r="E752" s="431" t="s">
        <v>1642</v>
      </c>
      <c r="F752" s="500" t="s">
        <v>199</v>
      </c>
      <c r="G752" s="500"/>
      <c r="H752" s="372" t="s">
        <v>22</v>
      </c>
      <c r="I752" s="373">
        <v>1</v>
      </c>
      <c r="J752" s="374">
        <v>41.31</v>
      </c>
      <c r="K752" s="374">
        <v>41.31</v>
      </c>
    </row>
    <row r="753" spans="2:11" ht="27.95" customHeight="1" x14ac:dyDescent="0.25">
      <c r="B753" s="431" t="s">
        <v>190</v>
      </c>
      <c r="C753" s="371" t="s">
        <v>1643</v>
      </c>
      <c r="D753" s="431" t="s">
        <v>1396</v>
      </c>
      <c r="E753" s="431" t="s">
        <v>1644</v>
      </c>
      <c r="F753" s="500" t="s">
        <v>191</v>
      </c>
      <c r="G753" s="500"/>
      <c r="H753" s="372" t="s">
        <v>32</v>
      </c>
      <c r="I753" s="373">
        <v>0.53</v>
      </c>
      <c r="J753" s="374">
        <v>19.809999999999999</v>
      </c>
      <c r="K753" s="374">
        <v>10.8142</v>
      </c>
    </row>
    <row r="754" spans="2:11" ht="27.95" customHeight="1" x14ac:dyDescent="0.25">
      <c r="B754" s="431" t="s">
        <v>190</v>
      </c>
      <c r="C754" s="371" t="s">
        <v>1645</v>
      </c>
      <c r="D754" s="431" t="s">
        <v>1396</v>
      </c>
      <c r="E754" s="431" t="s">
        <v>1646</v>
      </c>
      <c r="F754" s="500" t="s">
        <v>191</v>
      </c>
      <c r="G754" s="500"/>
      <c r="H754" s="372" t="s">
        <v>32</v>
      </c>
      <c r="I754" s="373">
        <v>0.53</v>
      </c>
      <c r="J754" s="374">
        <v>14.34</v>
      </c>
      <c r="K754" s="374">
        <v>7.8281999999999998</v>
      </c>
    </row>
    <row r="755" spans="2:11" ht="15" x14ac:dyDescent="0.25">
      <c r="B755" s="432"/>
      <c r="C755" s="432"/>
      <c r="D755" s="432"/>
      <c r="E755" s="432"/>
      <c r="F755" s="432"/>
      <c r="G755" s="375"/>
      <c r="H755" s="432"/>
      <c r="I755" s="375"/>
      <c r="J755" s="375"/>
      <c r="K755"/>
    </row>
    <row r="756" spans="2:11" ht="15.75" thickBot="1" x14ac:dyDescent="0.3">
      <c r="B756" s="432"/>
      <c r="C756" s="432"/>
      <c r="D756" s="432"/>
      <c r="E756" s="432"/>
      <c r="F756" s="432"/>
      <c r="G756" s="375"/>
      <c r="H756" s="432"/>
      <c r="I756" s="432"/>
      <c r="J756" s="375"/>
      <c r="K756"/>
    </row>
    <row r="757" spans="2:11" ht="13.5" thickTop="1" x14ac:dyDescent="0.25">
      <c r="B757" s="376"/>
      <c r="C757" s="376"/>
      <c r="D757" s="376"/>
      <c r="E757" s="376"/>
      <c r="F757" s="376"/>
      <c r="G757" s="376"/>
      <c r="H757" s="376"/>
      <c r="I757" s="376"/>
      <c r="J757" s="376"/>
      <c r="K757" s="376"/>
    </row>
    <row r="758" spans="2:11" ht="15" x14ac:dyDescent="0.25">
      <c r="B758" s="433" t="s">
        <v>1209</v>
      </c>
      <c r="C758" s="361" t="s">
        <v>0</v>
      </c>
      <c r="D758" s="433" t="s">
        <v>185</v>
      </c>
      <c r="E758" s="433" t="s">
        <v>83</v>
      </c>
      <c r="F758" s="498" t="s">
        <v>1</v>
      </c>
      <c r="G758" s="498"/>
      <c r="H758" s="362" t="s">
        <v>3</v>
      </c>
      <c r="I758" s="361" t="s">
        <v>186</v>
      </c>
      <c r="J758" s="361" t="s">
        <v>187</v>
      </c>
      <c r="K758" s="361" t="s">
        <v>4</v>
      </c>
    </row>
    <row r="759" spans="2:11" ht="25.5" x14ac:dyDescent="0.25">
      <c r="B759" s="434" t="s">
        <v>7</v>
      </c>
      <c r="C759" s="363" t="s">
        <v>769</v>
      </c>
      <c r="D759" s="434" t="s">
        <v>31</v>
      </c>
      <c r="E759" s="434" t="s">
        <v>770</v>
      </c>
      <c r="F759" s="499" t="s">
        <v>252</v>
      </c>
      <c r="G759" s="499"/>
      <c r="H759" s="364" t="s">
        <v>35</v>
      </c>
      <c r="I759" s="365">
        <v>1</v>
      </c>
      <c r="J759" s="366">
        <v>3.81</v>
      </c>
      <c r="K759" s="366">
        <v>3.81</v>
      </c>
    </row>
    <row r="760" spans="2:11" ht="38.25" x14ac:dyDescent="0.25">
      <c r="B760" s="430" t="s">
        <v>189</v>
      </c>
      <c r="C760" s="367" t="s">
        <v>218</v>
      </c>
      <c r="D760" s="430" t="s">
        <v>31</v>
      </c>
      <c r="E760" s="430" t="s">
        <v>219</v>
      </c>
      <c r="F760" s="497" t="s">
        <v>188</v>
      </c>
      <c r="G760" s="497"/>
      <c r="H760" s="368" t="s">
        <v>32</v>
      </c>
      <c r="I760" s="369">
        <v>4.4999999999999997E-3</v>
      </c>
      <c r="J760" s="370">
        <v>18.48</v>
      </c>
      <c r="K760" s="370">
        <v>0.08</v>
      </c>
    </row>
    <row r="761" spans="2:11" ht="38.25" x14ac:dyDescent="0.25">
      <c r="B761" s="430" t="s">
        <v>189</v>
      </c>
      <c r="C761" s="367" t="s">
        <v>220</v>
      </c>
      <c r="D761" s="430" t="s">
        <v>31</v>
      </c>
      <c r="E761" s="430" t="s">
        <v>221</v>
      </c>
      <c r="F761" s="497" t="s">
        <v>188</v>
      </c>
      <c r="G761" s="497"/>
      <c r="H761" s="368" t="s">
        <v>32</v>
      </c>
      <c r="I761" s="369">
        <v>4.4999999999999997E-3</v>
      </c>
      <c r="J761" s="370">
        <v>22.58</v>
      </c>
      <c r="K761" s="370">
        <v>0.1</v>
      </c>
    </row>
    <row r="762" spans="2:11" ht="38.25" x14ac:dyDescent="0.25">
      <c r="B762" s="431" t="s">
        <v>190</v>
      </c>
      <c r="C762" s="371" t="s">
        <v>848</v>
      </c>
      <c r="D762" s="431" t="s">
        <v>31</v>
      </c>
      <c r="E762" s="431" t="s">
        <v>849</v>
      </c>
      <c r="F762" s="500" t="s">
        <v>199</v>
      </c>
      <c r="G762" s="500"/>
      <c r="H762" s="372" t="s">
        <v>35</v>
      </c>
      <c r="I762" s="373">
        <v>1.05</v>
      </c>
      <c r="J762" s="374">
        <v>3.46</v>
      </c>
      <c r="K762" s="374">
        <v>3.63</v>
      </c>
    </row>
    <row r="763" spans="2:11" ht="15" x14ac:dyDescent="0.25">
      <c r="B763" s="432"/>
      <c r="C763" s="432"/>
      <c r="D763" s="432"/>
      <c r="E763" s="432"/>
      <c r="F763" s="432"/>
      <c r="G763" s="375"/>
      <c r="H763" s="432"/>
      <c r="I763" s="375"/>
      <c r="J763" s="375"/>
      <c r="K763"/>
    </row>
    <row r="764" spans="2:11" ht="15.75" thickBot="1" x14ac:dyDescent="0.3">
      <c r="B764" s="432"/>
      <c r="C764" s="432"/>
      <c r="D764" s="432"/>
      <c r="E764" s="432"/>
      <c r="F764" s="432"/>
      <c r="G764" s="375"/>
      <c r="H764" s="432"/>
      <c r="I764" s="432"/>
      <c r="J764" s="375"/>
      <c r="K764"/>
    </row>
    <row r="765" spans="2:11" ht="13.5" thickTop="1" x14ac:dyDescent="0.25">
      <c r="B765" s="376"/>
      <c r="C765" s="376"/>
      <c r="D765" s="376"/>
      <c r="E765" s="376"/>
      <c r="F765" s="376"/>
      <c r="G765" s="376"/>
      <c r="H765" s="376"/>
      <c r="I765" s="376"/>
      <c r="J765" s="376"/>
      <c r="K765" s="376"/>
    </row>
    <row r="766" spans="2:11" ht="15" x14ac:dyDescent="0.25">
      <c r="B766" s="433" t="s">
        <v>1210</v>
      </c>
      <c r="C766" s="361" t="s">
        <v>0</v>
      </c>
      <c r="D766" s="433" t="s">
        <v>185</v>
      </c>
      <c r="E766" s="433" t="s">
        <v>83</v>
      </c>
      <c r="F766" s="498" t="s">
        <v>1</v>
      </c>
      <c r="G766" s="498"/>
      <c r="H766" s="362" t="s">
        <v>3</v>
      </c>
      <c r="I766" s="361" t="s">
        <v>186</v>
      </c>
      <c r="J766" s="361" t="s">
        <v>187</v>
      </c>
      <c r="K766" s="361" t="s">
        <v>4</v>
      </c>
    </row>
    <row r="767" spans="2:11" ht="25.5" x14ac:dyDescent="0.25">
      <c r="B767" s="434" t="s">
        <v>7</v>
      </c>
      <c r="C767" s="363" t="s">
        <v>975</v>
      </c>
      <c r="D767" s="434" t="s">
        <v>214</v>
      </c>
      <c r="E767" s="434" t="s">
        <v>976</v>
      </c>
      <c r="F767" s="499" t="s">
        <v>1311</v>
      </c>
      <c r="G767" s="499"/>
      <c r="H767" s="364" t="s">
        <v>35</v>
      </c>
      <c r="I767" s="365">
        <v>1</v>
      </c>
      <c r="J767" s="366">
        <v>6.55</v>
      </c>
      <c r="K767" s="366">
        <v>6.55</v>
      </c>
    </row>
    <row r="768" spans="2:11" ht="38.25" x14ac:dyDescent="0.25">
      <c r="B768" s="430" t="s">
        <v>189</v>
      </c>
      <c r="C768" s="367" t="s">
        <v>271</v>
      </c>
      <c r="D768" s="430" t="s">
        <v>31</v>
      </c>
      <c r="E768" s="430" t="s">
        <v>272</v>
      </c>
      <c r="F768" s="497" t="s">
        <v>188</v>
      </c>
      <c r="G768" s="497"/>
      <c r="H768" s="368" t="s">
        <v>32</v>
      </c>
      <c r="I768" s="369">
        <v>0.03</v>
      </c>
      <c r="J768" s="370">
        <v>29.08</v>
      </c>
      <c r="K768" s="370">
        <v>0.87</v>
      </c>
    </row>
    <row r="769" spans="2:11" ht="38.25" x14ac:dyDescent="0.25">
      <c r="B769" s="430" t="s">
        <v>189</v>
      </c>
      <c r="C769" s="367" t="s">
        <v>222</v>
      </c>
      <c r="D769" s="430" t="s">
        <v>31</v>
      </c>
      <c r="E769" s="430" t="s">
        <v>223</v>
      </c>
      <c r="F769" s="497" t="s">
        <v>188</v>
      </c>
      <c r="G769" s="497"/>
      <c r="H769" s="368" t="s">
        <v>32</v>
      </c>
      <c r="I769" s="369">
        <v>0.03</v>
      </c>
      <c r="J769" s="370">
        <v>18.12</v>
      </c>
      <c r="K769" s="370">
        <v>0.54</v>
      </c>
    </row>
    <row r="770" spans="2:11" ht="25.5" x14ac:dyDescent="0.25">
      <c r="B770" s="431" t="s">
        <v>190</v>
      </c>
      <c r="C770" s="371" t="s">
        <v>1211</v>
      </c>
      <c r="D770" s="431" t="s">
        <v>214</v>
      </c>
      <c r="E770" s="431" t="s">
        <v>1212</v>
      </c>
      <c r="F770" s="500" t="s">
        <v>199</v>
      </c>
      <c r="G770" s="500"/>
      <c r="H770" s="372" t="s">
        <v>35</v>
      </c>
      <c r="I770" s="373">
        <v>1</v>
      </c>
      <c r="J770" s="374">
        <v>5.14</v>
      </c>
      <c r="K770" s="374">
        <v>5.14</v>
      </c>
    </row>
    <row r="771" spans="2:11" ht="15" x14ac:dyDescent="0.25">
      <c r="B771" s="432"/>
      <c r="C771" s="432"/>
      <c r="D771" s="432"/>
      <c r="E771" s="432"/>
      <c r="F771" s="432"/>
      <c r="G771" s="375"/>
      <c r="H771" s="432"/>
      <c r="I771" s="375"/>
      <c r="J771" s="375"/>
      <c r="K771"/>
    </row>
    <row r="772" spans="2:11" ht="15" x14ac:dyDescent="0.25">
      <c r="B772" s="432"/>
      <c r="C772" s="432"/>
      <c r="D772" s="432"/>
      <c r="E772" s="432"/>
      <c r="F772" s="432"/>
      <c r="G772" s="375"/>
      <c r="H772" s="432"/>
      <c r="I772" s="432"/>
      <c r="J772" s="375"/>
      <c r="K772"/>
    </row>
    <row r="773" spans="2:11" ht="15" x14ac:dyDescent="0.25">
      <c r="B773" s="433" t="s">
        <v>979</v>
      </c>
      <c r="C773" s="361" t="s">
        <v>0</v>
      </c>
      <c r="D773" s="433" t="s">
        <v>185</v>
      </c>
      <c r="E773" s="433" t="s">
        <v>83</v>
      </c>
      <c r="F773" s="498" t="s">
        <v>1</v>
      </c>
      <c r="G773" s="498"/>
      <c r="H773" s="362" t="s">
        <v>3</v>
      </c>
      <c r="I773" s="361" t="s">
        <v>186</v>
      </c>
      <c r="J773" s="361" t="s">
        <v>187</v>
      </c>
      <c r="K773" s="361" t="s">
        <v>4</v>
      </c>
    </row>
    <row r="774" spans="2:11" ht="25.5" x14ac:dyDescent="0.25">
      <c r="B774" s="434" t="s">
        <v>7</v>
      </c>
      <c r="C774" s="363" t="s">
        <v>864</v>
      </c>
      <c r="D774" s="434" t="s">
        <v>865</v>
      </c>
      <c r="E774" s="434" t="s">
        <v>866</v>
      </c>
      <c r="F774" s="499" t="s">
        <v>1069</v>
      </c>
      <c r="G774" s="499"/>
      <c r="H774" s="364" t="s">
        <v>22</v>
      </c>
      <c r="I774" s="365">
        <v>1</v>
      </c>
      <c r="J774" s="366">
        <v>10.17</v>
      </c>
      <c r="K774" s="366">
        <v>10.17</v>
      </c>
    </row>
    <row r="775" spans="2:11" ht="25.5" x14ac:dyDescent="0.25">
      <c r="B775" s="431" t="s">
        <v>190</v>
      </c>
      <c r="C775" s="371" t="s">
        <v>1070</v>
      </c>
      <c r="D775" s="431" t="s">
        <v>865</v>
      </c>
      <c r="E775" s="431" t="s">
        <v>1071</v>
      </c>
      <c r="F775" s="500" t="s">
        <v>191</v>
      </c>
      <c r="G775" s="500"/>
      <c r="H775" s="372" t="s">
        <v>32</v>
      </c>
      <c r="I775" s="373">
        <v>0.13</v>
      </c>
      <c r="J775" s="374">
        <v>15.53</v>
      </c>
      <c r="K775" s="374">
        <v>2.0099999999999998</v>
      </c>
    </row>
    <row r="776" spans="2:11" ht="25.5" x14ac:dyDescent="0.25">
      <c r="B776" s="431" t="s">
        <v>190</v>
      </c>
      <c r="C776" s="371" t="s">
        <v>1072</v>
      </c>
      <c r="D776" s="431" t="s">
        <v>865</v>
      </c>
      <c r="E776" s="431" t="s">
        <v>225</v>
      </c>
      <c r="F776" s="500" t="s">
        <v>191</v>
      </c>
      <c r="G776" s="500"/>
      <c r="H776" s="372" t="s">
        <v>32</v>
      </c>
      <c r="I776" s="373">
        <v>0.13</v>
      </c>
      <c r="J776" s="374">
        <v>22.11</v>
      </c>
      <c r="K776" s="374">
        <v>2.87</v>
      </c>
    </row>
    <row r="777" spans="2:11" ht="25.5" x14ac:dyDescent="0.25">
      <c r="B777" s="431" t="s">
        <v>190</v>
      </c>
      <c r="C777" s="371" t="s">
        <v>1073</v>
      </c>
      <c r="D777" s="431" t="s">
        <v>865</v>
      </c>
      <c r="E777" s="431" t="s">
        <v>1074</v>
      </c>
      <c r="F777" s="500" t="s">
        <v>199</v>
      </c>
      <c r="G777" s="500"/>
      <c r="H777" s="372" t="s">
        <v>22</v>
      </c>
      <c r="I777" s="373">
        <v>1</v>
      </c>
      <c r="J777" s="374">
        <v>1.48</v>
      </c>
      <c r="K777" s="374">
        <v>1.48</v>
      </c>
    </row>
    <row r="778" spans="2:11" ht="25.5" x14ac:dyDescent="0.25">
      <c r="B778" s="431" t="s">
        <v>190</v>
      </c>
      <c r="C778" s="371" t="s">
        <v>1075</v>
      </c>
      <c r="D778" s="431" t="s">
        <v>865</v>
      </c>
      <c r="E778" s="431" t="s">
        <v>1076</v>
      </c>
      <c r="F778" s="500" t="s">
        <v>199</v>
      </c>
      <c r="G778" s="500"/>
      <c r="H778" s="372" t="s">
        <v>22</v>
      </c>
      <c r="I778" s="373">
        <v>1</v>
      </c>
      <c r="J778" s="374">
        <v>0.22</v>
      </c>
      <c r="K778" s="374">
        <v>0.22</v>
      </c>
    </row>
    <row r="779" spans="2:11" ht="25.5" x14ac:dyDescent="0.25">
      <c r="B779" s="431" t="s">
        <v>190</v>
      </c>
      <c r="C779" s="371" t="s">
        <v>1077</v>
      </c>
      <c r="D779" s="431" t="s">
        <v>865</v>
      </c>
      <c r="E779" s="431" t="s">
        <v>1078</v>
      </c>
      <c r="F779" s="500" t="s">
        <v>199</v>
      </c>
      <c r="G779" s="500"/>
      <c r="H779" s="372" t="s">
        <v>22</v>
      </c>
      <c r="I779" s="373">
        <v>1</v>
      </c>
      <c r="J779" s="374">
        <v>3.52</v>
      </c>
      <c r="K779" s="374">
        <v>3.52</v>
      </c>
    </row>
    <row r="780" spans="2:11" ht="25.5" x14ac:dyDescent="0.25">
      <c r="B780" s="431" t="s">
        <v>190</v>
      </c>
      <c r="C780" s="371" t="s">
        <v>1079</v>
      </c>
      <c r="D780" s="431" t="s">
        <v>865</v>
      </c>
      <c r="E780" s="431" t="s">
        <v>1080</v>
      </c>
      <c r="F780" s="500" t="s">
        <v>199</v>
      </c>
      <c r="G780" s="500"/>
      <c r="H780" s="372" t="s">
        <v>22</v>
      </c>
      <c r="I780" s="373">
        <v>1</v>
      </c>
      <c r="J780" s="374">
        <v>7.0000000000000007E-2</v>
      </c>
      <c r="K780" s="374">
        <v>7.0000000000000007E-2</v>
      </c>
    </row>
    <row r="781" spans="2:11" ht="15" x14ac:dyDescent="0.25">
      <c r="B781" s="432"/>
      <c r="C781" s="432"/>
      <c r="D781" s="432"/>
      <c r="E781" s="432"/>
      <c r="F781" s="432"/>
      <c r="G781" s="375"/>
      <c r="H781" s="432"/>
      <c r="I781" s="375"/>
      <c r="J781" s="375"/>
      <c r="K781"/>
    </row>
    <row r="782" spans="2:11" ht="15" x14ac:dyDescent="0.25">
      <c r="B782" s="432"/>
      <c r="C782" s="432"/>
      <c r="D782" s="432"/>
      <c r="E782" s="432"/>
      <c r="F782" s="432"/>
      <c r="G782" s="375"/>
      <c r="H782" s="432"/>
      <c r="I782" s="432"/>
      <c r="J782" s="375"/>
      <c r="K782"/>
    </row>
    <row r="783" spans="2:11" ht="15" x14ac:dyDescent="0.25">
      <c r="B783" s="433" t="s">
        <v>980</v>
      </c>
      <c r="C783" s="361" t="s">
        <v>0</v>
      </c>
      <c r="D783" s="433" t="s">
        <v>185</v>
      </c>
      <c r="E783" s="433" t="s">
        <v>83</v>
      </c>
      <c r="F783" s="498" t="s">
        <v>1</v>
      </c>
      <c r="G783" s="498"/>
      <c r="H783" s="362" t="s">
        <v>3</v>
      </c>
      <c r="I783" s="361" t="s">
        <v>186</v>
      </c>
      <c r="J783" s="361" t="s">
        <v>187</v>
      </c>
      <c r="K783" s="361" t="s">
        <v>4</v>
      </c>
    </row>
    <row r="784" spans="2:11" ht="25.5" x14ac:dyDescent="0.25">
      <c r="B784" s="434" t="s">
        <v>7</v>
      </c>
      <c r="C784" s="363" t="s">
        <v>765</v>
      </c>
      <c r="D784" s="434" t="s">
        <v>125</v>
      </c>
      <c r="E784" s="434" t="s">
        <v>452</v>
      </c>
      <c r="F784" s="499">
        <v>63</v>
      </c>
      <c r="G784" s="499"/>
      <c r="H784" s="364" t="s">
        <v>22</v>
      </c>
      <c r="I784" s="365">
        <v>1</v>
      </c>
      <c r="J784" s="366">
        <v>12.62</v>
      </c>
      <c r="K784" s="366">
        <v>12.62</v>
      </c>
    </row>
    <row r="785" spans="2:11" ht="38.25" x14ac:dyDescent="0.25">
      <c r="B785" s="430" t="s">
        <v>189</v>
      </c>
      <c r="C785" s="367" t="s">
        <v>220</v>
      </c>
      <c r="D785" s="430" t="s">
        <v>31</v>
      </c>
      <c r="E785" s="430" t="s">
        <v>221</v>
      </c>
      <c r="F785" s="497" t="s">
        <v>188</v>
      </c>
      <c r="G785" s="497"/>
      <c r="H785" s="368" t="s">
        <v>32</v>
      </c>
      <c r="I785" s="369">
        <v>0.26</v>
      </c>
      <c r="J785" s="370">
        <v>22.58</v>
      </c>
      <c r="K785" s="370">
        <v>5.87</v>
      </c>
    </row>
    <row r="786" spans="2:11" ht="38.25" x14ac:dyDescent="0.25">
      <c r="B786" s="430" t="s">
        <v>189</v>
      </c>
      <c r="C786" s="367" t="s">
        <v>218</v>
      </c>
      <c r="D786" s="430" t="s">
        <v>31</v>
      </c>
      <c r="E786" s="430" t="s">
        <v>219</v>
      </c>
      <c r="F786" s="497" t="s">
        <v>188</v>
      </c>
      <c r="G786" s="497"/>
      <c r="H786" s="368" t="s">
        <v>32</v>
      </c>
      <c r="I786" s="369">
        <v>0.26</v>
      </c>
      <c r="J786" s="370">
        <v>18.48</v>
      </c>
      <c r="K786" s="370">
        <v>4.8</v>
      </c>
    </row>
    <row r="787" spans="2:11" x14ac:dyDescent="0.25">
      <c r="B787" s="431" t="s">
        <v>190</v>
      </c>
      <c r="C787" s="371" t="s">
        <v>827</v>
      </c>
      <c r="D787" s="431" t="s">
        <v>214</v>
      </c>
      <c r="E787" s="431" t="s">
        <v>828</v>
      </c>
      <c r="F787" s="500" t="s">
        <v>199</v>
      </c>
      <c r="G787" s="500"/>
      <c r="H787" s="372" t="s">
        <v>22</v>
      </c>
      <c r="I787" s="373">
        <v>1</v>
      </c>
      <c r="J787" s="374">
        <v>1.95</v>
      </c>
      <c r="K787" s="374">
        <v>1.95</v>
      </c>
    </row>
    <row r="788" spans="2:11" ht="15" x14ac:dyDescent="0.25">
      <c r="B788" s="432"/>
      <c r="C788" s="432"/>
      <c r="D788" s="432"/>
      <c r="E788" s="432"/>
      <c r="F788" s="432"/>
      <c r="G788" s="375"/>
      <c r="H788" s="432"/>
      <c r="I788" s="375"/>
      <c r="J788" s="375"/>
      <c r="K788"/>
    </row>
    <row r="789" spans="2:11" ht="15" x14ac:dyDescent="0.25">
      <c r="B789" s="433" t="s">
        <v>981</v>
      </c>
      <c r="C789" s="361" t="s">
        <v>0</v>
      </c>
      <c r="D789" s="433" t="s">
        <v>185</v>
      </c>
      <c r="E789" s="433" t="s">
        <v>83</v>
      </c>
      <c r="F789" s="498" t="s">
        <v>1</v>
      </c>
      <c r="G789" s="498"/>
      <c r="H789" s="362" t="s">
        <v>3</v>
      </c>
      <c r="I789" s="361" t="s">
        <v>186</v>
      </c>
      <c r="J789" s="361" t="s">
        <v>187</v>
      </c>
      <c r="K789" s="361" t="s">
        <v>4</v>
      </c>
    </row>
    <row r="790" spans="2:11" ht="25.5" x14ac:dyDescent="0.25">
      <c r="B790" s="434" t="s">
        <v>7</v>
      </c>
      <c r="C790" s="363" t="s">
        <v>307</v>
      </c>
      <c r="D790" s="434" t="s">
        <v>214</v>
      </c>
      <c r="E790" s="434" t="s">
        <v>308</v>
      </c>
      <c r="F790" s="499" t="s">
        <v>1305</v>
      </c>
      <c r="G790" s="499"/>
      <c r="H790" s="364" t="s">
        <v>22</v>
      </c>
      <c r="I790" s="365">
        <v>1</v>
      </c>
      <c r="J790" s="366">
        <v>20.100000000000001</v>
      </c>
      <c r="K790" s="366">
        <v>20.100000000000001</v>
      </c>
    </row>
    <row r="791" spans="2:11" ht="38.25" x14ac:dyDescent="0.25">
      <c r="B791" s="430" t="s">
        <v>189</v>
      </c>
      <c r="C791" s="367" t="s">
        <v>220</v>
      </c>
      <c r="D791" s="430" t="s">
        <v>31</v>
      </c>
      <c r="E791" s="430" t="s">
        <v>221</v>
      </c>
      <c r="F791" s="497" t="s">
        <v>188</v>
      </c>
      <c r="G791" s="497"/>
      <c r="H791" s="368" t="s">
        <v>32</v>
      </c>
      <c r="I791" s="369">
        <v>0.26600000000000001</v>
      </c>
      <c r="J791" s="370">
        <v>22.58</v>
      </c>
      <c r="K791" s="370">
        <v>6</v>
      </c>
    </row>
    <row r="792" spans="2:11" ht="38.25" x14ac:dyDescent="0.25">
      <c r="B792" s="430" t="s">
        <v>189</v>
      </c>
      <c r="C792" s="367" t="s">
        <v>218</v>
      </c>
      <c r="D792" s="430" t="s">
        <v>31</v>
      </c>
      <c r="E792" s="430" t="s">
        <v>219</v>
      </c>
      <c r="F792" s="497" t="s">
        <v>188</v>
      </c>
      <c r="G792" s="497"/>
      <c r="H792" s="368" t="s">
        <v>32</v>
      </c>
      <c r="I792" s="369">
        <v>0.26600000000000001</v>
      </c>
      <c r="J792" s="370">
        <v>18.48</v>
      </c>
      <c r="K792" s="370">
        <v>4.91</v>
      </c>
    </row>
    <row r="793" spans="2:11" x14ac:dyDescent="0.25">
      <c r="B793" s="431" t="s">
        <v>190</v>
      </c>
      <c r="C793" s="371" t="s">
        <v>329</v>
      </c>
      <c r="D793" s="431" t="s">
        <v>214</v>
      </c>
      <c r="E793" s="431" t="s">
        <v>330</v>
      </c>
      <c r="F793" s="500" t="s">
        <v>199</v>
      </c>
      <c r="G793" s="500"/>
      <c r="H793" s="372" t="s">
        <v>22</v>
      </c>
      <c r="I793" s="373">
        <v>1</v>
      </c>
      <c r="J793" s="374">
        <v>9.19</v>
      </c>
      <c r="K793" s="374">
        <v>9.19</v>
      </c>
    </row>
    <row r="794" spans="2:11" ht="15" x14ac:dyDescent="0.25">
      <c r="B794" s="432"/>
      <c r="C794" s="432"/>
      <c r="D794" s="432"/>
      <c r="E794" s="432"/>
      <c r="F794" s="432"/>
      <c r="G794" s="375"/>
      <c r="H794" s="432"/>
      <c r="I794" s="375"/>
      <c r="J794" s="375"/>
      <c r="K794"/>
    </row>
    <row r="795" spans="2:11" ht="15.75" thickBot="1" x14ac:dyDescent="0.3">
      <c r="B795" s="432"/>
      <c r="C795" s="432"/>
      <c r="D795" s="432"/>
      <c r="E795" s="432"/>
      <c r="F795" s="432"/>
      <c r="G795" s="375"/>
      <c r="H795" s="432"/>
      <c r="I795" s="432"/>
      <c r="J795" s="375"/>
      <c r="K795"/>
    </row>
    <row r="796" spans="2:11" ht="13.5" thickTop="1" x14ac:dyDescent="0.25">
      <c r="B796" s="376"/>
      <c r="C796" s="376"/>
      <c r="D796" s="376"/>
      <c r="E796" s="376"/>
      <c r="F796" s="376"/>
      <c r="G796" s="376"/>
      <c r="H796" s="376"/>
      <c r="I796" s="376"/>
      <c r="J796" s="376"/>
      <c r="K796" s="376"/>
    </row>
    <row r="797" spans="2:11" ht="15" x14ac:dyDescent="0.25">
      <c r="B797" s="433" t="s">
        <v>982</v>
      </c>
      <c r="C797" s="361" t="s">
        <v>0</v>
      </c>
      <c r="D797" s="433" t="s">
        <v>185</v>
      </c>
      <c r="E797" s="433" t="s">
        <v>83</v>
      </c>
      <c r="F797" s="498" t="s">
        <v>1</v>
      </c>
      <c r="G797" s="498"/>
      <c r="H797" s="362" t="s">
        <v>3</v>
      </c>
      <c r="I797" s="361" t="s">
        <v>186</v>
      </c>
      <c r="J797" s="361" t="s">
        <v>187</v>
      </c>
      <c r="K797" s="361" t="s">
        <v>4</v>
      </c>
    </row>
    <row r="798" spans="2:11" ht="25.5" x14ac:dyDescent="0.25">
      <c r="B798" s="434" t="s">
        <v>7</v>
      </c>
      <c r="C798" s="363" t="s">
        <v>766</v>
      </c>
      <c r="D798" s="434" t="s">
        <v>125</v>
      </c>
      <c r="E798" s="434" t="s">
        <v>455</v>
      </c>
      <c r="F798" s="499">
        <v>63</v>
      </c>
      <c r="G798" s="499"/>
      <c r="H798" s="364" t="s">
        <v>22</v>
      </c>
      <c r="I798" s="365">
        <v>1</v>
      </c>
      <c r="J798" s="366">
        <v>5.29</v>
      </c>
      <c r="K798" s="366">
        <v>5.29</v>
      </c>
    </row>
    <row r="799" spans="2:11" ht="38.25" x14ac:dyDescent="0.25">
      <c r="B799" s="430" t="s">
        <v>189</v>
      </c>
      <c r="C799" s="367" t="s">
        <v>220</v>
      </c>
      <c r="D799" s="430" t="s">
        <v>31</v>
      </c>
      <c r="E799" s="430" t="s">
        <v>221</v>
      </c>
      <c r="F799" s="497" t="s">
        <v>188</v>
      </c>
      <c r="G799" s="497"/>
      <c r="H799" s="368" t="s">
        <v>32</v>
      </c>
      <c r="I799" s="369">
        <v>0.1</v>
      </c>
      <c r="J799" s="370">
        <v>22.58</v>
      </c>
      <c r="K799" s="370">
        <v>2.25</v>
      </c>
    </row>
    <row r="800" spans="2:11" ht="38.25" x14ac:dyDescent="0.25">
      <c r="B800" s="430" t="s">
        <v>189</v>
      </c>
      <c r="C800" s="367" t="s">
        <v>218</v>
      </c>
      <c r="D800" s="430" t="s">
        <v>31</v>
      </c>
      <c r="E800" s="430" t="s">
        <v>219</v>
      </c>
      <c r="F800" s="497" t="s">
        <v>188</v>
      </c>
      <c r="G800" s="497"/>
      <c r="H800" s="368" t="s">
        <v>32</v>
      </c>
      <c r="I800" s="369">
        <v>0.1</v>
      </c>
      <c r="J800" s="370">
        <v>18.48</v>
      </c>
      <c r="K800" s="370">
        <v>1.84</v>
      </c>
    </row>
    <row r="801" spans="2:11" x14ac:dyDescent="0.25">
      <c r="B801" s="431" t="s">
        <v>190</v>
      </c>
      <c r="C801" s="371" t="s">
        <v>829</v>
      </c>
      <c r="D801" s="431" t="s">
        <v>177</v>
      </c>
      <c r="E801" s="431" t="s">
        <v>830</v>
      </c>
      <c r="F801" s="500" t="s">
        <v>199</v>
      </c>
      <c r="G801" s="500"/>
      <c r="H801" s="372" t="s">
        <v>227</v>
      </c>
      <c r="I801" s="373">
        <v>1</v>
      </c>
      <c r="J801" s="374">
        <v>1.2</v>
      </c>
      <c r="K801" s="374">
        <v>1.2</v>
      </c>
    </row>
    <row r="802" spans="2:11" ht="15" x14ac:dyDescent="0.25">
      <c r="B802" s="432"/>
      <c r="C802" s="432"/>
      <c r="D802" s="432"/>
      <c r="E802" s="432"/>
      <c r="F802" s="432"/>
      <c r="G802" s="375"/>
      <c r="H802" s="432"/>
      <c r="I802" s="375"/>
      <c r="J802" s="375"/>
      <c r="K802"/>
    </row>
    <row r="803" spans="2:11" ht="15" x14ac:dyDescent="0.25">
      <c r="B803" s="432"/>
      <c r="C803" s="432"/>
      <c r="D803" s="432"/>
      <c r="E803" s="432"/>
      <c r="F803" s="432"/>
      <c r="G803" s="375"/>
      <c r="H803" s="432"/>
      <c r="I803" s="432"/>
      <c r="J803" s="375"/>
      <c r="K803"/>
    </row>
    <row r="804" spans="2:11" ht="15" x14ac:dyDescent="0.25">
      <c r="B804" s="433" t="s">
        <v>1671</v>
      </c>
      <c r="C804" s="361" t="s">
        <v>0</v>
      </c>
      <c r="D804" s="433" t="s">
        <v>185</v>
      </c>
      <c r="E804" s="433" t="s">
        <v>83</v>
      </c>
      <c r="F804" s="498" t="s">
        <v>1</v>
      </c>
      <c r="G804" s="498"/>
      <c r="H804" s="362" t="s">
        <v>3</v>
      </c>
      <c r="I804" s="361" t="s">
        <v>186</v>
      </c>
      <c r="J804" s="361" t="s">
        <v>187</v>
      </c>
      <c r="K804" s="361" t="s">
        <v>4</v>
      </c>
    </row>
    <row r="805" spans="2:11" ht="25.5" x14ac:dyDescent="0.25">
      <c r="B805" s="434" t="s">
        <v>7</v>
      </c>
      <c r="C805" s="363" t="s">
        <v>867</v>
      </c>
      <c r="D805" s="434" t="s">
        <v>31</v>
      </c>
      <c r="E805" s="434" t="s">
        <v>868</v>
      </c>
      <c r="F805" s="499" t="s">
        <v>217</v>
      </c>
      <c r="G805" s="499"/>
      <c r="H805" s="364" t="s">
        <v>22</v>
      </c>
      <c r="I805" s="365">
        <v>1</v>
      </c>
      <c r="J805" s="366">
        <v>8.61</v>
      </c>
      <c r="K805" s="366">
        <v>8.61</v>
      </c>
    </row>
    <row r="806" spans="2:11" ht="38.25" x14ac:dyDescent="0.25">
      <c r="B806" s="430" t="s">
        <v>189</v>
      </c>
      <c r="C806" s="367" t="s">
        <v>220</v>
      </c>
      <c r="D806" s="430" t="s">
        <v>31</v>
      </c>
      <c r="E806" s="430" t="s">
        <v>221</v>
      </c>
      <c r="F806" s="497" t="s">
        <v>188</v>
      </c>
      <c r="G806" s="497"/>
      <c r="H806" s="368" t="s">
        <v>32</v>
      </c>
      <c r="I806" s="369">
        <v>0.15</v>
      </c>
      <c r="J806" s="370">
        <v>22.58</v>
      </c>
      <c r="K806" s="370">
        <v>3.38</v>
      </c>
    </row>
    <row r="807" spans="2:11" ht="38.25" x14ac:dyDescent="0.25">
      <c r="B807" s="430" t="s">
        <v>189</v>
      </c>
      <c r="C807" s="367" t="s">
        <v>218</v>
      </c>
      <c r="D807" s="430" t="s">
        <v>31</v>
      </c>
      <c r="E807" s="430" t="s">
        <v>219</v>
      </c>
      <c r="F807" s="497" t="s">
        <v>188</v>
      </c>
      <c r="G807" s="497"/>
      <c r="H807" s="368" t="s">
        <v>32</v>
      </c>
      <c r="I807" s="369">
        <v>0.15</v>
      </c>
      <c r="J807" s="370">
        <v>18.48</v>
      </c>
      <c r="K807" s="370">
        <v>2.77</v>
      </c>
    </row>
    <row r="808" spans="2:11" ht="38.25" x14ac:dyDescent="0.25">
      <c r="B808" s="431" t="s">
        <v>190</v>
      </c>
      <c r="C808" s="371" t="s">
        <v>327</v>
      </c>
      <c r="D808" s="431" t="s">
        <v>31</v>
      </c>
      <c r="E808" s="431" t="s">
        <v>328</v>
      </c>
      <c r="F808" s="500" t="s">
        <v>199</v>
      </c>
      <c r="G808" s="500"/>
      <c r="H808" s="372" t="s">
        <v>22</v>
      </c>
      <c r="I808" s="373">
        <v>1</v>
      </c>
      <c r="J808" s="374">
        <v>2.46</v>
      </c>
      <c r="K808" s="374">
        <v>2.46</v>
      </c>
    </row>
    <row r="809" spans="2:11" ht="15" x14ac:dyDescent="0.25">
      <c r="B809" s="432"/>
      <c r="C809" s="432"/>
      <c r="D809" s="432"/>
      <c r="E809" s="432"/>
      <c r="F809" s="432"/>
      <c r="G809" s="375"/>
      <c r="H809" s="432"/>
      <c r="I809" s="375"/>
      <c r="J809" s="375"/>
      <c r="K809"/>
    </row>
    <row r="810" spans="2:11" ht="15" x14ac:dyDescent="0.25">
      <c r="B810" s="432"/>
      <c r="C810" s="432"/>
      <c r="D810" s="432"/>
      <c r="E810" s="432"/>
      <c r="F810" s="432"/>
      <c r="G810" s="375"/>
      <c r="H810" s="432"/>
      <c r="I810" s="432"/>
      <c r="J810" s="375"/>
      <c r="K810"/>
    </row>
    <row r="811" spans="2:11" ht="15.75" thickBot="1" x14ac:dyDescent="0.3">
      <c r="B811" s="432"/>
      <c r="C811" s="432"/>
      <c r="D811" s="432"/>
      <c r="E811" s="432"/>
      <c r="F811" s="432"/>
      <c r="G811" s="375"/>
      <c r="H811" s="432"/>
      <c r="I811" s="432"/>
      <c r="J811" s="375"/>
      <c r="K811"/>
    </row>
    <row r="812" spans="2:11" ht="13.5" thickTop="1" x14ac:dyDescent="0.25">
      <c r="B812" s="376"/>
      <c r="C812" s="376"/>
      <c r="D812" s="376"/>
      <c r="E812" s="376"/>
      <c r="F812" s="376"/>
      <c r="G812" s="376"/>
      <c r="H812" s="376"/>
      <c r="I812" s="376"/>
      <c r="J812" s="376"/>
      <c r="K812" s="376"/>
    </row>
    <row r="813" spans="2:11" ht="15" x14ac:dyDescent="0.25">
      <c r="B813" s="433" t="s">
        <v>986</v>
      </c>
      <c r="C813" s="361" t="s">
        <v>0</v>
      </c>
      <c r="D813" s="433" t="s">
        <v>185</v>
      </c>
      <c r="E813" s="433" t="s">
        <v>83</v>
      </c>
      <c r="F813" s="498" t="s">
        <v>1</v>
      </c>
      <c r="G813" s="498"/>
      <c r="H813" s="362" t="s">
        <v>3</v>
      </c>
      <c r="I813" s="361" t="s">
        <v>186</v>
      </c>
      <c r="J813" s="361" t="s">
        <v>187</v>
      </c>
      <c r="K813" s="361" t="s">
        <v>4</v>
      </c>
    </row>
    <row r="814" spans="2:11" ht="25.5" x14ac:dyDescent="0.25">
      <c r="B814" s="434" t="s">
        <v>7</v>
      </c>
      <c r="C814" s="363" t="s">
        <v>987</v>
      </c>
      <c r="D814" s="434" t="s">
        <v>214</v>
      </c>
      <c r="E814" s="434" t="s">
        <v>988</v>
      </c>
      <c r="F814" s="499" t="s">
        <v>1309</v>
      </c>
      <c r="G814" s="499"/>
      <c r="H814" s="364" t="s">
        <v>35</v>
      </c>
      <c r="I814" s="365">
        <v>1</v>
      </c>
      <c r="J814" s="366">
        <v>46.47</v>
      </c>
      <c r="K814" s="366">
        <v>46.47</v>
      </c>
    </row>
    <row r="815" spans="2:11" ht="38.25" x14ac:dyDescent="0.25">
      <c r="B815" s="430" t="s">
        <v>189</v>
      </c>
      <c r="C815" s="367" t="s">
        <v>218</v>
      </c>
      <c r="D815" s="430" t="s">
        <v>31</v>
      </c>
      <c r="E815" s="430" t="s">
        <v>219</v>
      </c>
      <c r="F815" s="497" t="s">
        <v>188</v>
      </c>
      <c r="G815" s="497"/>
      <c r="H815" s="368" t="s">
        <v>32</v>
      </c>
      <c r="I815" s="369">
        <v>0.40400000000000003</v>
      </c>
      <c r="J815" s="370">
        <v>18.48</v>
      </c>
      <c r="K815" s="370">
        <v>7.46</v>
      </c>
    </row>
    <row r="816" spans="2:11" ht="38.25" x14ac:dyDescent="0.25">
      <c r="B816" s="430" t="s">
        <v>189</v>
      </c>
      <c r="C816" s="367" t="s">
        <v>220</v>
      </c>
      <c r="D816" s="430" t="s">
        <v>31</v>
      </c>
      <c r="E816" s="430" t="s">
        <v>221</v>
      </c>
      <c r="F816" s="497" t="s">
        <v>188</v>
      </c>
      <c r="G816" s="497"/>
      <c r="H816" s="368" t="s">
        <v>32</v>
      </c>
      <c r="I816" s="369">
        <v>0.40400000000000003</v>
      </c>
      <c r="J816" s="370">
        <v>22.58</v>
      </c>
      <c r="K816" s="370">
        <v>9.1199999999999992</v>
      </c>
    </row>
    <row r="817" spans="2:11" x14ac:dyDescent="0.25">
      <c r="B817" s="431" t="s">
        <v>190</v>
      </c>
      <c r="C817" s="371" t="s">
        <v>1213</v>
      </c>
      <c r="D817" s="431" t="s">
        <v>214</v>
      </c>
      <c r="E817" s="431" t="s">
        <v>1214</v>
      </c>
      <c r="F817" s="500" t="s">
        <v>199</v>
      </c>
      <c r="G817" s="500"/>
      <c r="H817" s="372" t="s">
        <v>22</v>
      </c>
      <c r="I817" s="373">
        <v>1.05</v>
      </c>
      <c r="J817" s="374">
        <v>28.47</v>
      </c>
      <c r="K817" s="374">
        <v>29.89</v>
      </c>
    </row>
    <row r="818" spans="2:11" ht="15" x14ac:dyDescent="0.25">
      <c r="B818" s="432"/>
      <c r="C818" s="432"/>
      <c r="D818" s="432"/>
      <c r="E818" s="432"/>
      <c r="F818" s="432"/>
      <c r="G818" s="375"/>
      <c r="H818" s="432"/>
      <c r="I818" s="375"/>
      <c r="J818" s="375"/>
      <c r="K818"/>
    </row>
    <row r="819" spans="2:11" ht="15.75" thickBot="1" x14ac:dyDescent="0.3">
      <c r="B819" s="432"/>
      <c r="C819" s="432"/>
      <c r="D819" s="432"/>
      <c r="E819" s="432"/>
      <c r="F819" s="432"/>
      <c r="G819" s="375"/>
      <c r="H819" s="432"/>
      <c r="I819" s="432"/>
      <c r="J819" s="375"/>
      <c r="K819"/>
    </row>
    <row r="820" spans="2:11" ht="13.5" thickTop="1" x14ac:dyDescent="0.25">
      <c r="B820" s="376"/>
      <c r="C820" s="376"/>
      <c r="D820" s="376"/>
      <c r="E820" s="376"/>
      <c r="F820" s="376"/>
      <c r="G820" s="376"/>
      <c r="H820" s="376"/>
      <c r="I820" s="376"/>
      <c r="J820" s="376"/>
      <c r="K820" s="376"/>
    </row>
    <row r="821" spans="2:11" ht="15" x14ac:dyDescent="0.25">
      <c r="B821" s="433" t="s">
        <v>989</v>
      </c>
      <c r="C821" s="361" t="s">
        <v>0</v>
      </c>
      <c r="D821" s="433" t="s">
        <v>185</v>
      </c>
      <c r="E821" s="433" t="s">
        <v>83</v>
      </c>
      <c r="F821" s="498" t="s">
        <v>1</v>
      </c>
      <c r="G821" s="498"/>
      <c r="H821" s="362" t="s">
        <v>3</v>
      </c>
      <c r="I821" s="361" t="s">
        <v>186</v>
      </c>
      <c r="J821" s="361" t="s">
        <v>187</v>
      </c>
      <c r="K821" s="361" t="s">
        <v>4</v>
      </c>
    </row>
    <row r="822" spans="2:11" ht="25.5" x14ac:dyDescent="0.25">
      <c r="B822" s="434" t="s">
        <v>7</v>
      </c>
      <c r="C822" s="363" t="s">
        <v>990</v>
      </c>
      <c r="D822" s="434" t="s">
        <v>214</v>
      </c>
      <c r="E822" s="434" t="s">
        <v>991</v>
      </c>
      <c r="F822" s="499" t="s">
        <v>1312</v>
      </c>
      <c r="G822" s="499"/>
      <c r="H822" s="364" t="s">
        <v>22</v>
      </c>
      <c r="I822" s="365">
        <v>1</v>
      </c>
      <c r="J822" s="366">
        <v>41.33</v>
      </c>
      <c r="K822" s="366">
        <v>41.33</v>
      </c>
    </row>
    <row r="823" spans="2:11" ht="38.25" x14ac:dyDescent="0.25">
      <c r="B823" s="430" t="s">
        <v>189</v>
      </c>
      <c r="C823" s="367" t="s">
        <v>220</v>
      </c>
      <c r="D823" s="430" t="s">
        <v>31</v>
      </c>
      <c r="E823" s="430" t="s">
        <v>221</v>
      </c>
      <c r="F823" s="497" t="s">
        <v>188</v>
      </c>
      <c r="G823" s="497"/>
      <c r="H823" s="368" t="s">
        <v>32</v>
      </c>
      <c r="I823" s="369">
        <v>0.47799999999999998</v>
      </c>
      <c r="J823" s="370">
        <v>22.58</v>
      </c>
      <c r="K823" s="370">
        <v>10.79</v>
      </c>
    </row>
    <row r="824" spans="2:11" ht="38.25" x14ac:dyDescent="0.25">
      <c r="B824" s="430" t="s">
        <v>189</v>
      </c>
      <c r="C824" s="367" t="s">
        <v>218</v>
      </c>
      <c r="D824" s="430" t="s">
        <v>31</v>
      </c>
      <c r="E824" s="430" t="s">
        <v>219</v>
      </c>
      <c r="F824" s="497" t="s">
        <v>188</v>
      </c>
      <c r="G824" s="497"/>
      <c r="H824" s="368" t="s">
        <v>32</v>
      </c>
      <c r="I824" s="369">
        <v>0.47799999999999998</v>
      </c>
      <c r="J824" s="370">
        <v>18.48</v>
      </c>
      <c r="K824" s="370">
        <v>8.83</v>
      </c>
    </row>
    <row r="825" spans="2:11" x14ac:dyDescent="0.25">
      <c r="B825" s="431" t="s">
        <v>190</v>
      </c>
      <c r="C825" s="371" t="s">
        <v>1215</v>
      </c>
      <c r="D825" s="431" t="s">
        <v>214</v>
      </c>
      <c r="E825" s="431" t="s">
        <v>1216</v>
      </c>
      <c r="F825" s="500" t="s">
        <v>199</v>
      </c>
      <c r="G825" s="500"/>
      <c r="H825" s="372" t="s">
        <v>22</v>
      </c>
      <c r="I825" s="373">
        <v>1</v>
      </c>
      <c r="J825" s="374">
        <v>21.71</v>
      </c>
      <c r="K825" s="374">
        <v>21.71</v>
      </c>
    </row>
    <row r="826" spans="2:11" ht="15" x14ac:dyDescent="0.25">
      <c r="B826" s="432"/>
      <c r="C826" s="432"/>
      <c r="D826" s="432"/>
      <c r="E826" s="432"/>
      <c r="F826" s="432"/>
      <c r="G826" s="375"/>
      <c r="H826" s="432"/>
      <c r="I826" s="375"/>
      <c r="J826" s="375"/>
      <c r="K826"/>
    </row>
    <row r="827" spans="2:11" ht="15.75" thickBot="1" x14ac:dyDescent="0.3">
      <c r="B827" s="432"/>
      <c r="C827" s="432"/>
      <c r="D827" s="432"/>
      <c r="E827" s="432"/>
      <c r="F827" s="432"/>
      <c r="G827" s="375"/>
      <c r="H827" s="432"/>
      <c r="I827" s="432"/>
      <c r="J827" s="375"/>
      <c r="K827"/>
    </row>
    <row r="828" spans="2:11" ht="13.5" thickTop="1" x14ac:dyDescent="0.25">
      <c r="B828" s="376"/>
      <c r="C828" s="376"/>
      <c r="D828" s="376"/>
      <c r="E828" s="376"/>
      <c r="F828" s="376"/>
      <c r="G828" s="376"/>
      <c r="H828" s="376"/>
      <c r="I828" s="376"/>
      <c r="J828" s="376"/>
      <c r="K828" s="376"/>
    </row>
    <row r="829" spans="2:11" ht="15" x14ac:dyDescent="0.25">
      <c r="B829" s="433" t="s">
        <v>992</v>
      </c>
      <c r="C829" s="361" t="s">
        <v>0</v>
      </c>
      <c r="D829" s="433" t="s">
        <v>185</v>
      </c>
      <c r="E829" s="433" t="s">
        <v>83</v>
      </c>
      <c r="F829" s="498" t="s">
        <v>1</v>
      </c>
      <c r="G829" s="498"/>
      <c r="H829" s="362" t="s">
        <v>3</v>
      </c>
      <c r="I829" s="361" t="s">
        <v>186</v>
      </c>
      <c r="J829" s="361" t="s">
        <v>187</v>
      </c>
      <c r="K829" s="361" t="s">
        <v>4</v>
      </c>
    </row>
    <row r="830" spans="2:11" ht="25.5" x14ac:dyDescent="0.25">
      <c r="B830" s="434" t="s">
        <v>7</v>
      </c>
      <c r="C830" s="363" t="s">
        <v>993</v>
      </c>
      <c r="D830" s="434" t="s">
        <v>214</v>
      </c>
      <c r="E830" s="434" t="s">
        <v>994</v>
      </c>
      <c r="F830" s="499" t="s">
        <v>1313</v>
      </c>
      <c r="G830" s="499"/>
      <c r="H830" s="364" t="s">
        <v>22</v>
      </c>
      <c r="I830" s="365">
        <v>1</v>
      </c>
      <c r="J830" s="366">
        <v>37.14</v>
      </c>
      <c r="K830" s="366">
        <v>37.14</v>
      </c>
    </row>
    <row r="831" spans="2:11" ht="38.25" x14ac:dyDescent="0.25">
      <c r="B831" s="430" t="s">
        <v>189</v>
      </c>
      <c r="C831" s="367" t="s">
        <v>218</v>
      </c>
      <c r="D831" s="430" t="s">
        <v>31</v>
      </c>
      <c r="E831" s="430" t="s">
        <v>219</v>
      </c>
      <c r="F831" s="497" t="s">
        <v>188</v>
      </c>
      <c r="G831" s="497"/>
      <c r="H831" s="368" t="s">
        <v>32</v>
      </c>
      <c r="I831" s="369">
        <v>0.47799999999999998</v>
      </c>
      <c r="J831" s="370">
        <v>18.48</v>
      </c>
      <c r="K831" s="370">
        <v>8.83</v>
      </c>
    </row>
    <row r="832" spans="2:11" ht="38.25" x14ac:dyDescent="0.25">
      <c r="B832" s="430" t="s">
        <v>189</v>
      </c>
      <c r="C832" s="367" t="s">
        <v>220</v>
      </c>
      <c r="D832" s="430" t="s">
        <v>31</v>
      </c>
      <c r="E832" s="430" t="s">
        <v>221</v>
      </c>
      <c r="F832" s="497" t="s">
        <v>188</v>
      </c>
      <c r="G832" s="497"/>
      <c r="H832" s="368" t="s">
        <v>32</v>
      </c>
      <c r="I832" s="369">
        <v>0.47799999999999998</v>
      </c>
      <c r="J832" s="370">
        <v>22.58</v>
      </c>
      <c r="K832" s="370">
        <v>10.79</v>
      </c>
    </row>
    <row r="833" spans="2:11" x14ac:dyDescent="0.25">
      <c r="B833" s="431" t="s">
        <v>190</v>
      </c>
      <c r="C833" s="371" t="s">
        <v>1217</v>
      </c>
      <c r="D833" s="431" t="s">
        <v>214</v>
      </c>
      <c r="E833" s="431" t="s">
        <v>1218</v>
      </c>
      <c r="F833" s="500" t="s">
        <v>199</v>
      </c>
      <c r="G833" s="500"/>
      <c r="H833" s="372" t="s">
        <v>22</v>
      </c>
      <c r="I833" s="373">
        <v>1</v>
      </c>
      <c r="J833" s="374">
        <v>17.52</v>
      </c>
      <c r="K833" s="374">
        <v>17.52</v>
      </c>
    </row>
    <row r="834" spans="2:11" ht="15" x14ac:dyDescent="0.25">
      <c r="B834" s="432"/>
      <c r="C834" s="432"/>
      <c r="D834" s="432"/>
      <c r="E834" s="432"/>
      <c r="F834" s="432"/>
      <c r="G834" s="375"/>
      <c r="H834" s="432"/>
      <c r="I834" s="375"/>
      <c r="J834" s="375"/>
      <c r="K834"/>
    </row>
    <row r="835" spans="2:11" ht="15.75" thickBot="1" x14ac:dyDescent="0.3">
      <c r="B835" s="432"/>
      <c r="C835" s="432"/>
      <c r="D835" s="432"/>
      <c r="E835" s="432"/>
      <c r="F835" s="432"/>
      <c r="G835" s="375"/>
      <c r="H835" s="432"/>
      <c r="I835" s="432"/>
      <c r="J835" s="375"/>
      <c r="K835"/>
    </row>
    <row r="836" spans="2:11" ht="13.5" thickTop="1" x14ac:dyDescent="0.25">
      <c r="B836" s="376"/>
      <c r="C836" s="376"/>
      <c r="D836" s="376"/>
      <c r="E836" s="376"/>
      <c r="F836" s="376"/>
      <c r="G836" s="376"/>
      <c r="H836" s="376"/>
      <c r="I836" s="376"/>
      <c r="J836" s="376"/>
      <c r="K836" s="376"/>
    </row>
    <row r="837" spans="2:11" ht="15" x14ac:dyDescent="0.25">
      <c r="B837" s="433" t="s">
        <v>1622</v>
      </c>
      <c r="C837" s="361" t="s">
        <v>0</v>
      </c>
      <c r="D837" s="433" t="s">
        <v>185</v>
      </c>
      <c r="E837" s="433" t="s">
        <v>83</v>
      </c>
      <c r="F837" s="498" t="s">
        <v>1</v>
      </c>
      <c r="G837" s="498"/>
      <c r="H837" s="362" t="s">
        <v>3</v>
      </c>
      <c r="I837" s="361" t="s">
        <v>186</v>
      </c>
      <c r="J837" s="361" t="s">
        <v>187</v>
      </c>
      <c r="K837" s="361" t="s">
        <v>4</v>
      </c>
    </row>
    <row r="838" spans="2:11" ht="25.5" x14ac:dyDescent="0.25">
      <c r="B838" s="434" t="s">
        <v>7</v>
      </c>
      <c r="C838" s="363" t="s">
        <v>1000</v>
      </c>
      <c r="D838" s="434" t="s">
        <v>177</v>
      </c>
      <c r="E838" s="434" t="s">
        <v>838</v>
      </c>
      <c r="F838" s="499" t="s">
        <v>1221</v>
      </c>
      <c r="G838" s="499"/>
      <c r="H838" s="364" t="s">
        <v>227</v>
      </c>
      <c r="I838" s="365">
        <v>1</v>
      </c>
      <c r="J838" s="366">
        <v>0.38</v>
      </c>
      <c r="K838" s="366">
        <v>0.38</v>
      </c>
    </row>
    <row r="839" spans="2:11" ht="38.25" x14ac:dyDescent="0.25">
      <c r="B839" s="430" t="s">
        <v>189</v>
      </c>
      <c r="C839" s="367" t="s">
        <v>1123</v>
      </c>
      <c r="D839" s="430" t="s">
        <v>177</v>
      </c>
      <c r="E839" s="430" t="s">
        <v>1124</v>
      </c>
      <c r="F839" s="497" t="s">
        <v>1125</v>
      </c>
      <c r="G839" s="497"/>
      <c r="H839" s="368" t="s">
        <v>1126</v>
      </c>
      <c r="I839" s="369">
        <v>0.01</v>
      </c>
      <c r="J839" s="370">
        <v>3.63</v>
      </c>
      <c r="K839" s="370">
        <v>0.03</v>
      </c>
    </row>
    <row r="840" spans="2:11" ht="38.25" x14ac:dyDescent="0.25">
      <c r="B840" s="430" t="s">
        <v>189</v>
      </c>
      <c r="C840" s="367" t="s">
        <v>1153</v>
      </c>
      <c r="D840" s="430" t="s">
        <v>177</v>
      </c>
      <c r="E840" s="430" t="s">
        <v>1154</v>
      </c>
      <c r="F840" s="497" t="s">
        <v>1125</v>
      </c>
      <c r="G840" s="497"/>
      <c r="H840" s="368" t="s">
        <v>1126</v>
      </c>
      <c r="I840" s="369">
        <v>0.01</v>
      </c>
      <c r="J840" s="370">
        <v>3.51</v>
      </c>
      <c r="K840" s="370">
        <v>0.03</v>
      </c>
    </row>
    <row r="841" spans="2:11" x14ac:dyDescent="0.25">
      <c r="B841" s="431" t="s">
        <v>190</v>
      </c>
      <c r="C841" s="371" t="s">
        <v>837</v>
      </c>
      <c r="D841" s="431" t="s">
        <v>177</v>
      </c>
      <c r="E841" s="431" t="s">
        <v>838</v>
      </c>
      <c r="F841" s="500" t="s">
        <v>199</v>
      </c>
      <c r="G841" s="500"/>
      <c r="H841" s="372" t="s">
        <v>227</v>
      </c>
      <c r="I841" s="373">
        <v>1</v>
      </c>
      <c r="J841" s="374">
        <v>0.05</v>
      </c>
      <c r="K841" s="374">
        <v>0.05</v>
      </c>
    </row>
    <row r="842" spans="2:11" ht="38.25" x14ac:dyDescent="0.25">
      <c r="B842" s="431" t="s">
        <v>190</v>
      </c>
      <c r="C842" s="371" t="s">
        <v>224</v>
      </c>
      <c r="D842" s="431" t="s">
        <v>31</v>
      </c>
      <c r="E842" s="431" t="s">
        <v>1156</v>
      </c>
      <c r="F842" s="500" t="s">
        <v>191</v>
      </c>
      <c r="G842" s="500"/>
      <c r="H842" s="372" t="s">
        <v>32</v>
      </c>
      <c r="I842" s="373">
        <v>0.01</v>
      </c>
      <c r="J842" s="374">
        <v>16.39</v>
      </c>
      <c r="K842" s="374">
        <v>0.16</v>
      </c>
    </row>
    <row r="843" spans="2:11" ht="38.25" x14ac:dyDescent="0.25">
      <c r="B843" s="431" t="s">
        <v>190</v>
      </c>
      <c r="C843" s="371" t="s">
        <v>175</v>
      </c>
      <c r="D843" s="431" t="s">
        <v>31</v>
      </c>
      <c r="E843" s="431" t="s">
        <v>47</v>
      </c>
      <c r="F843" s="500" t="s">
        <v>191</v>
      </c>
      <c r="G843" s="500"/>
      <c r="H843" s="372" t="s">
        <v>32</v>
      </c>
      <c r="I843" s="373">
        <v>0.01</v>
      </c>
      <c r="J843" s="374">
        <v>11.67</v>
      </c>
      <c r="K843" s="374">
        <v>0.11</v>
      </c>
    </row>
    <row r="844" spans="2:11" ht="15" x14ac:dyDescent="0.25">
      <c r="B844" s="432"/>
      <c r="C844" s="432"/>
      <c r="D844" s="432"/>
      <c r="E844" s="432"/>
      <c r="F844" s="432"/>
      <c r="G844" s="375"/>
      <c r="H844" s="432"/>
      <c r="I844" s="375"/>
      <c r="J844" s="375"/>
      <c r="K844"/>
    </row>
    <row r="845" spans="2:11" ht="15.75" thickBot="1" x14ac:dyDescent="0.3">
      <c r="B845" s="432"/>
      <c r="C845" s="432"/>
      <c r="D845" s="432"/>
      <c r="E845" s="432"/>
      <c r="F845" s="432"/>
      <c r="G845" s="375"/>
      <c r="H845" s="432"/>
      <c r="I845" s="432"/>
      <c r="J845" s="375"/>
      <c r="K845"/>
    </row>
    <row r="846" spans="2:11" ht="13.5" thickTop="1" x14ac:dyDescent="0.25">
      <c r="B846" s="376"/>
      <c r="C846" s="376"/>
      <c r="D846" s="376"/>
      <c r="E846" s="376"/>
      <c r="F846" s="376"/>
      <c r="G846" s="376"/>
      <c r="H846" s="376"/>
      <c r="I846" s="376"/>
      <c r="J846" s="376"/>
      <c r="K846" s="376"/>
    </row>
    <row r="847" spans="2:11" ht="15" x14ac:dyDescent="0.25">
      <c r="B847" s="433" t="s">
        <v>1623</v>
      </c>
      <c r="C847" s="361" t="s">
        <v>0</v>
      </c>
      <c r="D847" s="433" t="s">
        <v>185</v>
      </c>
      <c r="E847" s="433" t="s">
        <v>83</v>
      </c>
      <c r="F847" s="498" t="s">
        <v>1</v>
      </c>
      <c r="G847" s="498"/>
      <c r="H847" s="362" t="s">
        <v>3</v>
      </c>
      <c r="I847" s="361" t="s">
        <v>186</v>
      </c>
      <c r="J847" s="361" t="s">
        <v>187</v>
      </c>
      <c r="K847" s="361" t="s">
        <v>4</v>
      </c>
    </row>
    <row r="848" spans="2:11" ht="25.5" x14ac:dyDescent="0.25">
      <c r="B848" s="434" t="s">
        <v>7</v>
      </c>
      <c r="C848" s="363" t="s">
        <v>1002</v>
      </c>
      <c r="D848" s="434" t="s">
        <v>177</v>
      </c>
      <c r="E848" s="434" t="s">
        <v>1003</v>
      </c>
      <c r="F848" s="499" t="s">
        <v>1221</v>
      </c>
      <c r="G848" s="499"/>
      <c r="H848" s="364" t="s">
        <v>227</v>
      </c>
      <c r="I848" s="365">
        <v>1</v>
      </c>
      <c r="J848" s="366">
        <v>0.38</v>
      </c>
      <c r="K848" s="366">
        <v>0.38</v>
      </c>
    </row>
    <row r="849" spans="2:11" ht="38.25" x14ac:dyDescent="0.25">
      <c r="B849" s="430" t="s">
        <v>189</v>
      </c>
      <c r="C849" s="367" t="s">
        <v>1123</v>
      </c>
      <c r="D849" s="430" t="s">
        <v>177</v>
      </c>
      <c r="E849" s="430" t="s">
        <v>1124</v>
      </c>
      <c r="F849" s="497" t="s">
        <v>1125</v>
      </c>
      <c r="G849" s="497"/>
      <c r="H849" s="368" t="s">
        <v>1126</v>
      </c>
      <c r="I849" s="369">
        <v>0.01</v>
      </c>
      <c r="J849" s="370">
        <v>3.63</v>
      </c>
      <c r="K849" s="370">
        <v>0.03</v>
      </c>
    </row>
    <row r="850" spans="2:11" ht="38.25" x14ac:dyDescent="0.25">
      <c r="B850" s="430" t="s">
        <v>189</v>
      </c>
      <c r="C850" s="367" t="s">
        <v>1153</v>
      </c>
      <c r="D850" s="430" t="s">
        <v>177</v>
      </c>
      <c r="E850" s="430" t="s">
        <v>1154</v>
      </c>
      <c r="F850" s="497" t="s">
        <v>1125</v>
      </c>
      <c r="G850" s="497"/>
      <c r="H850" s="368" t="s">
        <v>1126</v>
      </c>
      <c r="I850" s="369">
        <v>0.01</v>
      </c>
      <c r="J850" s="370">
        <v>3.51</v>
      </c>
      <c r="K850" s="370">
        <v>0.03</v>
      </c>
    </row>
    <row r="851" spans="2:11" x14ac:dyDescent="0.25">
      <c r="B851" s="431" t="s">
        <v>190</v>
      </c>
      <c r="C851" s="371" t="s">
        <v>839</v>
      </c>
      <c r="D851" s="431" t="s">
        <v>177</v>
      </c>
      <c r="E851" s="431" t="s">
        <v>840</v>
      </c>
      <c r="F851" s="500" t="s">
        <v>199</v>
      </c>
      <c r="G851" s="500"/>
      <c r="H851" s="372" t="s">
        <v>227</v>
      </c>
      <c r="I851" s="373">
        <v>1</v>
      </c>
      <c r="J851" s="374">
        <v>0.05</v>
      </c>
      <c r="K851" s="374">
        <v>0.05</v>
      </c>
    </row>
    <row r="852" spans="2:11" ht="38.25" x14ac:dyDescent="0.25">
      <c r="B852" s="431" t="s">
        <v>190</v>
      </c>
      <c r="C852" s="371" t="s">
        <v>224</v>
      </c>
      <c r="D852" s="431" t="s">
        <v>31</v>
      </c>
      <c r="E852" s="431" t="s">
        <v>1156</v>
      </c>
      <c r="F852" s="500" t="s">
        <v>191</v>
      </c>
      <c r="G852" s="500"/>
      <c r="H852" s="372" t="s">
        <v>32</v>
      </c>
      <c r="I852" s="373">
        <v>0.01</v>
      </c>
      <c r="J852" s="374">
        <v>16.39</v>
      </c>
      <c r="K852" s="374">
        <v>0.16</v>
      </c>
    </row>
    <row r="853" spans="2:11" ht="38.25" x14ac:dyDescent="0.25">
      <c r="B853" s="431" t="s">
        <v>190</v>
      </c>
      <c r="C853" s="371" t="s">
        <v>175</v>
      </c>
      <c r="D853" s="431" t="s">
        <v>31</v>
      </c>
      <c r="E853" s="431" t="s">
        <v>47</v>
      </c>
      <c r="F853" s="500" t="s">
        <v>191</v>
      </c>
      <c r="G853" s="500"/>
      <c r="H853" s="372" t="s">
        <v>32</v>
      </c>
      <c r="I853" s="373">
        <v>0.01</v>
      </c>
      <c r="J853" s="374">
        <v>11.67</v>
      </c>
      <c r="K853" s="374">
        <v>0.11</v>
      </c>
    </row>
    <row r="854" spans="2:11" ht="15" x14ac:dyDescent="0.25">
      <c r="B854" s="432"/>
      <c r="C854" s="432"/>
      <c r="D854" s="432"/>
      <c r="E854" s="432"/>
      <c r="F854" s="432"/>
      <c r="G854" s="375"/>
      <c r="H854" s="432"/>
      <c r="I854" s="375"/>
      <c r="J854" s="375"/>
      <c r="K854"/>
    </row>
    <row r="855" spans="2:11" ht="15.75" thickBot="1" x14ac:dyDescent="0.3">
      <c r="B855" s="432"/>
      <c r="C855" s="432"/>
      <c r="D855" s="432"/>
      <c r="E855" s="432"/>
      <c r="F855" s="432"/>
      <c r="G855" s="375"/>
      <c r="H855" s="432"/>
      <c r="I855" s="432"/>
      <c r="J855" s="375"/>
      <c r="K855"/>
    </row>
    <row r="856" spans="2:11" ht="13.5" thickTop="1" x14ac:dyDescent="0.25">
      <c r="B856" s="376"/>
      <c r="C856" s="376"/>
      <c r="D856" s="376"/>
      <c r="E856" s="376"/>
      <c r="F856" s="376"/>
      <c r="G856" s="376"/>
      <c r="H856" s="376"/>
      <c r="I856" s="376"/>
      <c r="J856" s="376"/>
      <c r="K856" s="376"/>
    </row>
    <row r="857" spans="2:11" ht="15" x14ac:dyDescent="0.25">
      <c r="B857" s="433" t="s">
        <v>999</v>
      </c>
      <c r="C857" s="361" t="s">
        <v>0</v>
      </c>
      <c r="D857" s="433" t="s">
        <v>185</v>
      </c>
      <c r="E857" s="433" t="s">
        <v>83</v>
      </c>
      <c r="F857" s="498" t="s">
        <v>1</v>
      </c>
      <c r="G857" s="498"/>
      <c r="H857" s="362" t="s">
        <v>3</v>
      </c>
      <c r="I857" s="361" t="s">
        <v>186</v>
      </c>
      <c r="J857" s="361" t="s">
        <v>187</v>
      </c>
      <c r="K857" s="361" t="s">
        <v>4</v>
      </c>
    </row>
    <row r="858" spans="2:11" ht="25.5" x14ac:dyDescent="0.25">
      <c r="B858" s="434" t="s">
        <v>7</v>
      </c>
      <c r="C858" s="363" t="s">
        <v>1005</v>
      </c>
      <c r="D858" s="434" t="s">
        <v>125</v>
      </c>
      <c r="E858" s="434" t="s">
        <v>1006</v>
      </c>
      <c r="F858" s="499">
        <v>7</v>
      </c>
      <c r="G858" s="499"/>
      <c r="H858" s="364" t="s">
        <v>847</v>
      </c>
      <c r="I858" s="365">
        <v>1</v>
      </c>
      <c r="J858" s="366">
        <v>0.69</v>
      </c>
      <c r="K858" s="366">
        <v>0.69</v>
      </c>
    </row>
    <row r="859" spans="2:11" ht="38.25" x14ac:dyDescent="0.25">
      <c r="B859" s="430" t="s">
        <v>189</v>
      </c>
      <c r="C859" s="367" t="s">
        <v>220</v>
      </c>
      <c r="D859" s="430" t="s">
        <v>31</v>
      </c>
      <c r="E859" s="430" t="s">
        <v>221</v>
      </c>
      <c r="F859" s="497" t="s">
        <v>188</v>
      </c>
      <c r="G859" s="497"/>
      <c r="H859" s="368" t="s">
        <v>32</v>
      </c>
      <c r="I859" s="369">
        <v>1.6E-2</v>
      </c>
      <c r="J859" s="370">
        <v>22.58</v>
      </c>
      <c r="K859" s="370">
        <v>0.36</v>
      </c>
    </row>
    <row r="860" spans="2:11" ht="38.25" x14ac:dyDescent="0.25">
      <c r="B860" s="430" t="s">
        <v>189</v>
      </c>
      <c r="C860" s="367" t="s">
        <v>218</v>
      </c>
      <c r="D860" s="430" t="s">
        <v>31</v>
      </c>
      <c r="E860" s="430" t="s">
        <v>219</v>
      </c>
      <c r="F860" s="497" t="s">
        <v>188</v>
      </c>
      <c r="G860" s="497"/>
      <c r="H860" s="368" t="s">
        <v>32</v>
      </c>
      <c r="I860" s="369">
        <v>1.6E-2</v>
      </c>
      <c r="J860" s="370">
        <v>18.48</v>
      </c>
      <c r="K860" s="370">
        <v>0.28999999999999998</v>
      </c>
    </row>
    <row r="861" spans="2:11" ht="38.25" x14ac:dyDescent="0.25">
      <c r="B861" s="431" t="s">
        <v>190</v>
      </c>
      <c r="C861" s="371" t="s">
        <v>843</v>
      </c>
      <c r="D861" s="431" t="s">
        <v>31</v>
      </c>
      <c r="E861" s="431" t="s">
        <v>844</v>
      </c>
      <c r="F861" s="500" t="s">
        <v>199</v>
      </c>
      <c r="G861" s="500"/>
      <c r="H861" s="372" t="s">
        <v>22</v>
      </c>
      <c r="I861" s="373">
        <v>1</v>
      </c>
      <c r="J861" s="374">
        <v>0.04</v>
      </c>
      <c r="K861" s="374">
        <v>0.04</v>
      </c>
    </row>
    <row r="862" spans="2:11" ht="15" x14ac:dyDescent="0.25">
      <c r="B862" s="432"/>
      <c r="C862" s="432"/>
      <c r="D862" s="432"/>
      <c r="E862" s="432"/>
      <c r="F862" s="432"/>
      <c r="G862" s="375"/>
      <c r="H862" s="432"/>
      <c r="I862" s="375"/>
      <c r="J862" s="375"/>
      <c r="K862"/>
    </row>
    <row r="863" spans="2:11" ht="15.75" thickBot="1" x14ac:dyDescent="0.3">
      <c r="B863" s="432"/>
      <c r="C863" s="432"/>
      <c r="D863" s="432"/>
      <c r="E863" s="432"/>
      <c r="F863" s="432"/>
      <c r="G863" s="375"/>
      <c r="H863" s="432"/>
      <c r="I863" s="432"/>
      <c r="J863" s="375"/>
      <c r="K863"/>
    </row>
    <row r="864" spans="2:11" ht="13.5" thickTop="1" x14ac:dyDescent="0.25">
      <c r="B864" s="376"/>
      <c r="C864" s="376"/>
      <c r="D864" s="376"/>
      <c r="E864" s="376"/>
      <c r="F864" s="376"/>
      <c r="G864" s="376"/>
      <c r="H864" s="376"/>
      <c r="I864" s="376"/>
      <c r="J864" s="376"/>
      <c r="K864" s="376"/>
    </row>
    <row r="865" spans="2:11" ht="15" x14ac:dyDescent="0.25">
      <c r="B865" s="433" t="s">
        <v>1001</v>
      </c>
      <c r="C865" s="361" t="s">
        <v>0</v>
      </c>
      <c r="D865" s="433" t="s">
        <v>185</v>
      </c>
      <c r="E865" s="433" t="s">
        <v>83</v>
      </c>
      <c r="F865" s="498" t="s">
        <v>1</v>
      </c>
      <c r="G865" s="498"/>
      <c r="H865" s="362" t="s">
        <v>3</v>
      </c>
      <c r="I865" s="361" t="s">
        <v>186</v>
      </c>
      <c r="J865" s="361" t="s">
        <v>187</v>
      </c>
      <c r="K865" s="361" t="s">
        <v>4</v>
      </c>
    </row>
    <row r="866" spans="2:11" ht="25.5" x14ac:dyDescent="0.25">
      <c r="B866" s="434" t="s">
        <v>7</v>
      </c>
      <c r="C866" s="363" t="s">
        <v>767</v>
      </c>
      <c r="D866" s="434" t="s">
        <v>125</v>
      </c>
      <c r="E866" s="434" t="s">
        <v>472</v>
      </c>
      <c r="F866" s="499">
        <v>90</v>
      </c>
      <c r="G866" s="499"/>
      <c r="H866" s="364" t="s">
        <v>227</v>
      </c>
      <c r="I866" s="365">
        <v>1</v>
      </c>
      <c r="J866" s="366">
        <v>4.24</v>
      </c>
      <c r="K866" s="366">
        <v>4.24</v>
      </c>
    </row>
    <row r="867" spans="2:11" ht="38.25" x14ac:dyDescent="0.25">
      <c r="B867" s="430" t="s">
        <v>189</v>
      </c>
      <c r="C867" s="367" t="s">
        <v>220</v>
      </c>
      <c r="D867" s="430" t="s">
        <v>31</v>
      </c>
      <c r="E867" s="430" t="s">
        <v>221</v>
      </c>
      <c r="F867" s="497" t="s">
        <v>188</v>
      </c>
      <c r="G867" s="497"/>
      <c r="H867" s="368" t="s">
        <v>32</v>
      </c>
      <c r="I867" s="369">
        <v>0.1</v>
      </c>
      <c r="J867" s="370">
        <v>22.58</v>
      </c>
      <c r="K867" s="370">
        <v>2.25</v>
      </c>
    </row>
    <row r="868" spans="2:11" ht="38.25" x14ac:dyDescent="0.25">
      <c r="B868" s="430" t="s">
        <v>189</v>
      </c>
      <c r="C868" s="367" t="s">
        <v>218</v>
      </c>
      <c r="D868" s="430" t="s">
        <v>31</v>
      </c>
      <c r="E868" s="430" t="s">
        <v>219</v>
      </c>
      <c r="F868" s="497" t="s">
        <v>188</v>
      </c>
      <c r="G868" s="497"/>
      <c r="H868" s="368" t="s">
        <v>32</v>
      </c>
      <c r="I868" s="369">
        <v>0.1</v>
      </c>
      <c r="J868" s="370">
        <v>18.48</v>
      </c>
      <c r="K868" s="370">
        <v>1.84</v>
      </c>
    </row>
    <row r="869" spans="2:11" ht="38.25" x14ac:dyDescent="0.25">
      <c r="B869" s="431" t="s">
        <v>190</v>
      </c>
      <c r="C869" s="371" t="s">
        <v>841</v>
      </c>
      <c r="D869" s="431" t="s">
        <v>31</v>
      </c>
      <c r="E869" s="431" t="s">
        <v>842</v>
      </c>
      <c r="F869" s="500" t="s">
        <v>199</v>
      </c>
      <c r="G869" s="500"/>
      <c r="H869" s="372" t="s">
        <v>22</v>
      </c>
      <c r="I869" s="373">
        <v>1</v>
      </c>
      <c r="J869" s="374">
        <v>0.15</v>
      </c>
      <c r="K869" s="374">
        <v>0.15</v>
      </c>
    </row>
    <row r="870" spans="2:11" ht="15" x14ac:dyDescent="0.25">
      <c r="B870" s="432"/>
      <c r="C870" s="432"/>
      <c r="D870" s="432"/>
      <c r="E870" s="432"/>
      <c r="F870" s="432"/>
      <c r="G870" s="375"/>
      <c r="H870" s="432"/>
      <c r="I870" s="375"/>
      <c r="J870" s="375"/>
      <c r="K870"/>
    </row>
    <row r="871" spans="2:11" ht="15.75" thickBot="1" x14ac:dyDescent="0.3">
      <c r="B871" s="432"/>
      <c r="C871" s="432"/>
      <c r="D871" s="432"/>
      <c r="E871" s="432"/>
      <c r="F871" s="432"/>
      <c r="G871" s="375"/>
      <c r="H871" s="432"/>
      <c r="I871" s="432"/>
      <c r="J871" s="375"/>
      <c r="K871"/>
    </row>
    <row r="872" spans="2:11" ht="13.5" thickTop="1" x14ac:dyDescent="0.25">
      <c r="B872" s="376"/>
      <c r="C872" s="376"/>
      <c r="D872" s="376"/>
      <c r="E872" s="376"/>
      <c r="F872" s="376"/>
      <c r="G872" s="376"/>
      <c r="H872" s="376"/>
      <c r="I872" s="376"/>
      <c r="J872" s="376"/>
      <c r="K872" s="376"/>
    </row>
    <row r="873" spans="2:11" ht="15" x14ac:dyDescent="0.25">
      <c r="B873" s="433" t="s">
        <v>1004</v>
      </c>
      <c r="C873" s="361" t="s">
        <v>0</v>
      </c>
      <c r="D873" s="433" t="s">
        <v>185</v>
      </c>
      <c r="E873" s="433" t="s">
        <v>83</v>
      </c>
      <c r="F873" s="498" t="s">
        <v>1</v>
      </c>
      <c r="G873" s="498"/>
      <c r="H873" s="362" t="s">
        <v>3</v>
      </c>
      <c r="I873" s="361" t="s">
        <v>186</v>
      </c>
      <c r="J873" s="361" t="s">
        <v>187</v>
      </c>
      <c r="K873" s="361" t="s">
        <v>4</v>
      </c>
    </row>
    <row r="874" spans="2:11" ht="63.75" x14ac:dyDescent="0.25">
      <c r="B874" s="434" t="s">
        <v>7</v>
      </c>
      <c r="C874" s="363" t="s">
        <v>1009</v>
      </c>
      <c r="D874" s="434" t="s">
        <v>125</v>
      </c>
      <c r="E874" s="434" t="s">
        <v>1010</v>
      </c>
      <c r="F874" s="499" t="s">
        <v>1182</v>
      </c>
      <c r="G874" s="499"/>
      <c r="H874" s="364" t="s">
        <v>22</v>
      </c>
      <c r="I874" s="365">
        <v>1</v>
      </c>
      <c r="J874" s="366">
        <v>4.42</v>
      </c>
      <c r="K874" s="366">
        <v>4.42</v>
      </c>
    </row>
    <row r="875" spans="2:11" ht="38.25" x14ac:dyDescent="0.25">
      <c r="B875" s="430" t="s">
        <v>189</v>
      </c>
      <c r="C875" s="367" t="s">
        <v>1222</v>
      </c>
      <c r="D875" s="430" t="s">
        <v>31</v>
      </c>
      <c r="E875" s="430" t="s">
        <v>1223</v>
      </c>
      <c r="F875" s="497" t="s">
        <v>238</v>
      </c>
      <c r="G875" s="497"/>
      <c r="H875" s="368" t="s">
        <v>22</v>
      </c>
      <c r="I875" s="369">
        <v>1</v>
      </c>
      <c r="J875" s="370">
        <v>3.92</v>
      </c>
      <c r="K875" s="370">
        <v>3.92</v>
      </c>
    </row>
    <row r="876" spans="2:11" ht="38.25" x14ac:dyDescent="0.25">
      <c r="B876" s="431" t="s">
        <v>190</v>
      </c>
      <c r="C876" s="371" t="s">
        <v>1224</v>
      </c>
      <c r="D876" s="431" t="s">
        <v>31</v>
      </c>
      <c r="E876" s="431" t="s">
        <v>1225</v>
      </c>
      <c r="F876" s="500" t="s">
        <v>199</v>
      </c>
      <c r="G876" s="500"/>
      <c r="H876" s="372" t="s">
        <v>1226</v>
      </c>
      <c r="I876" s="373">
        <v>0.01</v>
      </c>
      <c r="J876" s="374">
        <v>50.64</v>
      </c>
      <c r="K876" s="374">
        <v>0.5</v>
      </c>
    </row>
    <row r="877" spans="2:11" ht="15" x14ac:dyDescent="0.25">
      <c r="B877" s="432"/>
      <c r="C877" s="432"/>
      <c r="D877" s="432"/>
      <c r="E877" s="432"/>
      <c r="F877" s="432"/>
      <c r="G877" s="375"/>
      <c r="H877" s="432"/>
      <c r="I877" s="375"/>
      <c r="J877" s="375"/>
      <c r="K877"/>
    </row>
    <row r="878" spans="2:11" ht="15.75" thickBot="1" x14ac:dyDescent="0.3">
      <c r="B878" s="432"/>
      <c r="C878" s="432"/>
      <c r="D878" s="432"/>
      <c r="E878" s="432"/>
      <c r="F878" s="432"/>
      <c r="G878" s="375"/>
      <c r="H878" s="432"/>
      <c r="I878" s="432"/>
      <c r="J878" s="375"/>
      <c r="K878"/>
    </row>
    <row r="879" spans="2:11" ht="13.5" thickTop="1" x14ac:dyDescent="0.25">
      <c r="B879" s="376"/>
      <c r="C879" s="376"/>
      <c r="D879" s="376"/>
      <c r="E879" s="376"/>
      <c r="F879" s="376"/>
      <c r="G879" s="376"/>
      <c r="H879" s="376"/>
      <c r="I879" s="376"/>
      <c r="J879" s="376"/>
      <c r="K879" s="376"/>
    </row>
    <row r="880" spans="2:11" ht="15" x14ac:dyDescent="0.25">
      <c r="B880" s="433" t="s">
        <v>1007</v>
      </c>
      <c r="C880" s="361" t="s">
        <v>0</v>
      </c>
      <c r="D880" s="433" t="s">
        <v>185</v>
      </c>
      <c r="E880" s="433" t="s">
        <v>83</v>
      </c>
      <c r="F880" s="498" t="s">
        <v>1</v>
      </c>
      <c r="G880" s="498"/>
      <c r="H880" s="362" t="s">
        <v>3</v>
      </c>
      <c r="I880" s="361" t="s">
        <v>186</v>
      </c>
      <c r="J880" s="361" t="s">
        <v>187</v>
      </c>
      <c r="K880" s="361" t="s">
        <v>4</v>
      </c>
    </row>
    <row r="881" spans="2:11" ht="25.5" x14ac:dyDescent="0.25">
      <c r="B881" s="434" t="s">
        <v>7</v>
      </c>
      <c r="C881" s="363" t="s">
        <v>768</v>
      </c>
      <c r="D881" s="434" t="s">
        <v>125</v>
      </c>
      <c r="E881" s="434" t="s">
        <v>492</v>
      </c>
      <c r="F881" s="499">
        <v>168</v>
      </c>
      <c r="G881" s="499"/>
      <c r="H881" s="364" t="s">
        <v>227</v>
      </c>
      <c r="I881" s="365">
        <v>1</v>
      </c>
      <c r="J881" s="366">
        <v>0.6</v>
      </c>
      <c r="K881" s="366">
        <v>0.6</v>
      </c>
    </row>
    <row r="882" spans="2:11" ht="38.25" x14ac:dyDescent="0.25">
      <c r="B882" s="430" t="s">
        <v>189</v>
      </c>
      <c r="C882" s="367" t="s">
        <v>220</v>
      </c>
      <c r="D882" s="430" t="s">
        <v>31</v>
      </c>
      <c r="E882" s="430" t="s">
        <v>221</v>
      </c>
      <c r="F882" s="497" t="s">
        <v>188</v>
      </c>
      <c r="G882" s="497"/>
      <c r="H882" s="368" t="s">
        <v>32</v>
      </c>
      <c r="I882" s="369">
        <v>0.01</v>
      </c>
      <c r="J882" s="370">
        <v>22.58</v>
      </c>
      <c r="K882" s="370">
        <v>0.22</v>
      </c>
    </row>
    <row r="883" spans="2:11" x14ac:dyDescent="0.25">
      <c r="B883" s="431" t="s">
        <v>190</v>
      </c>
      <c r="C883" s="371" t="s">
        <v>845</v>
      </c>
      <c r="D883" s="431" t="s">
        <v>177</v>
      </c>
      <c r="E883" s="431" t="s">
        <v>846</v>
      </c>
      <c r="F883" s="500" t="s">
        <v>199</v>
      </c>
      <c r="G883" s="500"/>
      <c r="H883" s="372" t="s">
        <v>227</v>
      </c>
      <c r="I883" s="373">
        <v>1</v>
      </c>
      <c r="J883" s="374">
        <v>0.38</v>
      </c>
      <c r="K883" s="374">
        <v>0.38</v>
      </c>
    </row>
    <row r="884" spans="2:11" ht="15" x14ac:dyDescent="0.25">
      <c r="B884" s="432"/>
      <c r="C884" s="432"/>
      <c r="D884" s="432"/>
      <c r="E884" s="432"/>
      <c r="F884" s="432"/>
      <c r="G884" s="375"/>
      <c r="H884" s="432"/>
      <c r="I884" s="375"/>
      <c r="J884" s="375"/>
      <c r="K884"/>
    </row>
    <row r="885" spans="2:11" ht="15.75" thickBot="1" x14ac:dyDescent="0.3">
      <c r="B885" s="432"/>
      <c r="C885" s="432"/>
      <c r="D885" s="432"/>
      <c r="E885" s="432"/>
      <c r="F885" s="432"/>
      <c r="G885" s="375"/>
      <c r="H885" s="432"/>
      <c r="I885" s="432"/>
      <c r="J885" s="375"/>
      <c r="K885"/>
    </row>
    <row r="886" spans="2:11" ht="13.5" thickTop="1" x14ac:dyDescent="0.25">
      <c r="B886" s="376"/>
      <c r="C886" s="376"/>
      <c r="D886" s="376"/>
      <c r="E886" s="376"/>
      <c r="F886" s="376"/>
      <c r="G886" s="376"/>
      <c r="H886" s="376"/>
      <c r="I886" s="376"/>
      <c r="J886" s="376"/>
      <c r="K886" s="376"/>
    </row>
    <row r="887" spans="2:11" ht="15" x14ac:dyDescent="0.25">
      <c r="B887" s="433" t="s">
        <v>1008</v>
      </c>
      <c r="C887" s="361" t="s">
        <v>0</v>
      </c>
      <c r="D887" s="433" t="s">
        <v>185</v>
      </c>
      <c r="E887" s="433" t="s">
        <v>83</v>
      </c>
      <c r="F887" s="498" t="s">
        <v>1</v>
      </c>
      <c r="G887" s="498"/>
      <c r="H887" s="362" t="s">
        <v>3</v>
      </c>
      <c r="I887" s="361" t="s">
        <v>186</v>
      </c>
      <c r="J887" s="361" t="s">
        <v>187</v>
      </c>
      <c r="K887" s="361" t="s">
        <v>4</v>
      </c>
    </row>
    <row r="888" spans="2:11" ht="25.5" x14ac:dyDescent="0.25">
      <c r="B888" s="434" t="s">
        <v>7</v>
      </c>
      <c r="C888" s="363" t="s">
        <v>1013</v>
      </c>
      <c r="D888" s="434" t="s">
        <v>905</v>
      </c>
      <c r="E888" s="434" t="s">
        <v>1014</v>
      </c>
      <c r="F888" s="499">
        <v>7</v>
      </c>
      <c r="G888" s="499"/>
      <c r="H888" s="364" t="s">
        <v>847</v>
      </c>
      <c r="I888" s="365">
        <v>1</v>
      </c>
      <c r="J888" s="366">
        <v>0.38</v>
      </c>
      <c r="K888" s="366">
        <v>0.38</v>
      </c>
    </row>
    <row r="889" spans="2:11" ht="25.5" x14ac:dyDescent="0.25">
      <c r="B889" s="431" t="s">
        <v>190</v>
      </c>
      <c r="C889" s="371" t="s">
        <v>1227</v>
      </c>
      <c r="D889" s="431" t="s">
        <v>905</v>
      </c>
      <c r="E889" s="431" t="s">
        <v>1228</v>
      </c>
      <c r="F889" s="500" t="s">
        <v>199</v>
      </c>
      <c r="G889" s="500"/>
      <c r="H889" s="372" t="s">
        <v>227</v>
      </c>
      <c r="I889" s="373">
        <v>1</v>
      </c>
      <c r="J889" s="374">
        <v>0.18</v>
      </c>
      <c r="K889" s="374">
        <v>0.18</v>
      </c>
    </row>
    <row r="890" spans="2:11" ht="25.5" x14ac:dyDescent="0.25">
      <c r="B890" s="431" t="s">
        <v>190</v>
      </c>
      <c r="C890" s="371" t="s">
        <v>1134</v>
      </c>
      <c r="D890" s="431" t="s">
        <v>905</v>
      </c>
      <c r="E890" s="431" t="s">
        <v>1135</v>
      </c>
      <c r="F890" s="500" t="s">
        <v>191</v>
      </c>
      <c r="G890" s="500"/>
      <c r="H890" s="372" t="s">
        <v>1126</v>
      </c>
      <c r="I890" s="373">
        <v>6.6E-3</v>
      </c>
      <c r="J890" s="374">
        <v>12.31</v>
      </c>
      <c r="K890" s="374">
        <v>0.08</v>
      </c>
    </row>
    <row r="891" spans="2:11" ht="25.5" x14ac:dyDescent="0.25">
      <c r="B891" s="431" t="s">
        <v>190</v>
      </c>
      <c r="C891" s="371" t="s">
        <v>1136</v>
      </c>
      <c r="D891" s="431" t="s">
        <v>905</v>
      </c>
      <c r="E891" s="431" t="s">
        <v>225</v>
      </c>
      <c r="F891" s="500" t="s">
        <v>191</v>
      </c>
      <c r="G891" s="500"/>
      <c r="H891" s="372" t="s">
        <v>1126</v>
      </c>
      <c r="I891" s="373">
        <v>6.6E-3</v>
      </c>
      <c r="J891" s="374">
        <v>18.510000000000002</v>
      </c>
      <c r="K891" s="374">
        <v>0.12</v>
      </c>
    </row>
    <row r="892" spans="2:11" ht="15" x14ac:dyDescent="0.25">
      <c r="B892" s="432"/>
      <c r="C892" s="432"/>
      <c r="D892" s="432"/>
      <c r="E892" s="432"/>
      <c r="F892" s="432"/>
      <c r="G892" s="375"/>
      <c r="H892" s="432"/>
      <c r="I892" s="375"/>
      <c r="J892" s="375"/>
      <c r="K892"/>
    </row>
    <row r="893" spans="2:11" ht="15.75" thickBot="1" x14ac:dyDescent="0.3">
      <c r="B893" s="432"/>
      <c r="C893" s="432"/>
      <c r="D893" s="432"/>
      <c r="E893" s="432"/>
      <c r="F893" s="432"/>
      <c r="G893" s="375"/>
      <c r="H893" s="432"/>
      <c r="I893" s="432"/>
      <c r="J893" s="375"/>
      <c r="K893"/>
    </row>
    <row r="894" spans="2:11" ht="13.5" thickTop="1" x14ac:dyDescent="0.25">
      <c r="B894" s="376"/>
      <c r="C894" s="376"/>
      <c r="D894" s="376"/>
      <c r="E894" s="376"/>
      <c r="F894" s="376"/>
      <c r="G894" s="376"/>
      <c r="H894" s="376"/>
      <c r="I894" s="376"/>
      <c r="J894" s="376"/>
      <c r="K894" s="376"/>
    </row>
    <row r="895" spans="2:11" ht="15" x14ac:dyDescent="0.25">
      <c r="B895" s="433" t="s">
        <v>1011</v>
      </c>
      <c r="C895" s="361" t="s">
        <v>0</v>
      </c>
      <c r="D895" s="433" t="s">
        <v>185</v>
      </c>
      <c r="E895" s="433" t="s">
        <v>83</v>
      </c>
      <c r="F895" s="498" t="s">
        <v>1</v>
      </c>
      <c r="G895" s="498"/>
      <c r="H895" s="362" t="s">
        <v>3</v>
      </c>
      <c r="I895" s="361" t="s">
        <v>186</v>
      </c>
      <c r="J895" s="361" t="s">
        <v>187</v>
      </c>
      <c r="K895" s="361" t="s">
        <v>4</v>
      </c>
    </row>
    <row r="896" spans="2:11" ht="25.5" x14ac:dyDescent="0.25">
      <c r="B896" s="434" t="s">
        <v>7</v>
      </c>
      <c r="C896" s="363" t="s">
        <v>1015</v>
      </c>
      <c r="D896" s="434" t="s">
        <v>177</v>
      </c>
      <c r="E896" s="434" t="s">
        <v>1016</v>
      </c>
      <c r="F896" s="499" t="s">
        <v>1229</v>
      </c>
      <c r="G896" s="499"/>
      <c r="H896" s="364" t="s">
        <v>227</v>
      </c>
      <c r="I896" s="365">
        <v>1</v>
      </c>
      <c r="J896" s="366">
        <v>3.73</v>
      </c>
      <c r="K896" s="366">
        <v>3.73</v>
      </c>
    </row>
    <row r="897" spans="2:11" ht="38.25" x14ac:dyDescent="0.25">
      <c r="B897" s="430" t="s">
        <v>189</v>
      </c>
      <c r="C897" s="367" t="s">
        <v>1153</v>
      </c>
      <c r="D897" s="430" t="s">
        <v>177</v>
      </c>
      <c r="E897" s="430" t="s">
        <v>1154</v>
      </c>
      <c r="F897" s="497" t="s">
        <v>1125</v>
      </c>
      <c r="G897" s="497"/>
      <c r="H897" s="368" t="s">
        <v>1126</v>
      </c>
      <c r="I897" s="369">
        <v>0.1</v>
      </c>
      <c r="J897" s="370">
        <v>3.51</v>
      </c>
      <c r="K897" s="370">
        <v>0.35</v>
      </c>
    </row>
    <row r="898" spans="2:11" ht="38.25" x14ac:dyDescent="0.25">
      <c r="B898" s="430" t="s">
        <v>189</v>
      </c>
      <c r="C898" s="367" t="s">
        <v>1123</v>
      </c>
      <c r="D898" s="430" t="s">
        <v>177</v>
      </c>
      <c r="E898" s="430" t="s">
        <v>1124</v>
      </c>
      <c r="F898" s="497" t="s">
        <v>1125</v>
      </c>
      <c r="G898" s="497"/>
      <c r="H898" s="368" t="s">
        <v>1126</v>
      </c>
      <c r="I898" s="369">
        <v>0.1</v>
      </c>
      <c r="J898" s="370">
        <v>3.63</v>
      </c>
      <c r="K898" s="370">
        <v>0.36</v>
      </c>
    </row>
    <row r="899" spans="2:11" x14ac:dyDescent="0.25">
      <c r="B899" s="431" t="s">
        <v>190</v>
      </c>
      <c r="C899" s="371" t="s">
        <v>1230</v>
      </c>
      <c r="D899" s="431" t="s">
        <v>177</v>
      </c>
      <c r="E899" s="431" t="s">
        <v>1016</v>
      </c>
      <c r="F899" s="500" t="s">
        <v>199</v>
      </c>
      <c r="G899" s="500"/>
      <c r="H899" s="372" t="s">
        <v>227</v>
      </c>
      <c r="I899" s="373">
        <v>1</v>
      </c>
      <c r="J899" s="374">
        <v>0.23</v>
      </c>
      <c r="K899" s="374">
        <v>0.23</v>
      </c>
    </row>
    <row r="900" spans="2:11" ht="38.25" x14ac:dyDescent="0.25">
      <c r="B900" s="431" t="s">
        <v>190</v>
      </c>
      <c r="C900" s="371" t="s">
        <v>224</v>
      </c>
      <c r="D900" s="431" t="s">
        <v>31</v>
      </c>
      <c r="E900" s="431" t="s">
        <v>1156</v>
      </c>
      <c r="F900" s="500" t="s">
        <v>191</v>
      </c>
      <c r="G900" s="500"/>
      <c r="H900" s="372" t="s">
        <v>32</v>
      </c>
      <c r="I900" s="373">
        <v>0.1</v>
      </c>
      <c r="J900" s="374">
        <v>16.39</v>
      </c>
      <c r="K900" s="374">
        <v>1.63</v>
      </c>
    </row>
    <row r="901" spans="2:11" ht="38.25" x14ac:dyDescent="0.25">
      <c r="B901" s="431" t="s">
        <v>190</v>
      </c>
      <c r="C901" s="371" t="s">
        <v>175</v>
      </c>
      <c r="D901" s="431" t="s">
        <v>31</v>
      </c>
      <c r="E901" s="431" t="s">
        <v>47</v>
      </c>
      <c r="F901" s="500" t="s">
        <v>191</v>
      </c>
      <c r="G901" s="500"/>
      <c r="H901" s="372" t="s">
        <v>32</v>
      </c>
      <c r="I901" s="373">
        <v>0.1</v>
      </c>
      <c r="J901" s="374">
        <v>11.67</v>
      </c>
      <c r="K901" s="374">
        <v>1.1599999999999999</v>
      </c>
    </row>
    <row r="902" spans="2:11" ht="15" x14ac:dyDescent="0.25">
      <c r="B902" s="432"/>
      <c r="C902" s="432"/>
      <c r="D902" s="432"/>
      <c r="E902" s="432"/>
      <c r="F902" s="432"/>
      <c r="G902" s="375"/>
      <c r="H902" s="432"/>
      <c r="I902" s="375"/>
      <c r="J902" s="375"/>
      <c r="K902"/>
    </row>
    <row r="903" spans="2:11" ht="15.75" thickBot="1" x14ac:dyDescent="0.3">
      <c r="B903" s="432"/>
      <c r="C903" s="432"/>
      <c r="D903" s="432"/>
      <c r="E903" s="432"/>
      <c r="F903" s="432"/>
      <c r="G903" s="375"/>
      <c r="H903" s="432"/>
      <c r="I903" s="432"/>
      <c r="J903" s="375"/>
      <c r="K903"/>
    </row>
    <row r="904" spans="2:11" ht="13.5" thickTop="1" x14ac:dyDescent="0.25">
      <c r="B904" s="376"/>
      <c r="C904" s="376"/>
      <c r="D904" s="376"/>
      <c r="E904" s="376"/>
      <c r="F904" s="376"/>
      <c r="G904" s="376"/>
      <c r="H904" s="376"/>
      <c r="I904" s="376"/>
      <c r="J904" s="376"/>
      <c r="K904" s="376"/>
    </row>
    <row r="905" spans="2:11" ht="15" x14ac:dyDescent="0.25">
      <c r="B905" s="433" t="s">
        <v>1012</v>
      </c>
      <c r="C905" s="361" t="s">
        <v>0</v>
      </c>
      <c r="D905" s="433" t="s">
        <v>185</v>
      </c>
      <c r="E905" s="433" t="s">
        <v>83</v>
      </c>
      <c r="F905" s="498" t="s">
        <v>1</v>
      </c>
      <c r="G905" s="498"/>
      <c r="H905" s="362" t="s">
        <v>3</v>
      </c>
      <c r="I905" s="361" t="s">
        <v>186</v>
      </c>
      <c r="J905" s="361" t="s">
        <v>187</v>
      </c>
      <c r="K905" s="361" t="s">
        <v>4</v>
      </c>
    </row>
    <row r="906" spans="2:11" ht="25.5" x14ac:dyDescent="0.25">
      <c r="B906" s="434" t="s">
        <v>7</v>
      </c>
      <c r="C906" s="363" t="s">
        <v>1017</v>
      </c>
      <c r="D906" s="434" t="s">
        <v>177</v>
      </c>
      <c r="E906" s="434" t="s">
        <v>1018</v>
      </c>
      <c r="F906" s="499" t="s">
        <v>1122</v>
      </c>
      <c r="G906" s="499"/>
      <c r="H906" s="364" t="s">
        <v>227</v>
      </c>
      <c r="I906" s="365">
        <v>1</v>
      </c>
      <c r="J906" s="366">
        <v>36.200000000000003</v>
      </c>
      <c r="K906" s="366">
        <v>36.200000000000003</v>
      </c>
    </row>
    <row r="907" spans="2:11" ht="38.25" x14ac:dyDescent="0.25">
      <c r="B907" s="430" t="s">
        <v>189</v>
      </c>
      <c r="C907" s="367" t="s">
        <v>1153</v>
      </c>
      <c r="D907" s="430" t="s">
        <v>177</v>
      </c>
      <c r="E907" s="430" t="s">
        <v>1154</v>
      </c>
      <c r="F907" s="497" t="s">
        <v>1125</v>
      </c>
      <c r="G907" s="497"/>
      <c r="H907" s="368" t="s">
        <v>1126</v>
      </c>
      <c r="I907" s="369">
        <v>0.4</v>
      </c>
      <c r="J907" s="370">
        <v>3.51</v>
      </c>
      <c r="K907" s="370">
        <v>1.4</v>
      </c>
    </row>
    <row r="908" spans="2:11" ht="38.25" x14ac:dyDescent="0.25">
      <c r="B908" s="430" t="s">
        <v>189</v>
      </c>
      <c r="C908" s="367" t="s">
        <v>1123</v>
      </c>
      <c r="D908" s="430" t="s">
        <v>177</v>
      </c>
      <c r="E908" s="430" t="s">
        <v>1124</v>
      </c>
      <c r="F908" s="497" t="s">
        <v>1125</v>
      </c>
      <c r="G908" s="497"/>
      <c r="H908" s="368" t="s">
        <v>1126</v>
      </c>
      <c r="I908" s="369">
        <v>0.4</v>
      </c>
      <c r="J908" s="370">
        <v>3.63</v>
      </c>
      <c r="K908" s="370">
        <v>1.45</v>
      </c>
    </row>
    <row r="909" spans="2:11" x14ac:dyDescent="0.25">
      <c r="B909" s="431" t="s">
        <v>190</v>
      </c>
      <c r="C909" s="371" t="s">
        <v>1231</v>
      </c>
      <c r="D909" s="431" t="s">
        <v>177</v>
      </c>
      <c r="E909" s="431" t="s">
        <v>1018</v>
      </c>
      <c r="F909" s="500" t="s">
        <v>199</v>
      </c>
      <c r="G909" s="500"/>
      <c r="H909" s="372" t="s">
        <v>227</v>
      </c>
      <c r="I909" s="373">
        <v>1</v>
      </c>
      <c r="J909" s="374">
        <v>22.14</v>
      </c>
      <c r="K909" s="374">
        <v>22.14</v>
      </c>
    </row>
    <row r="910" spans="2:11" ht="38.25" x14ac:dyDescent="0.25">
      <c r="B910" s="431" t="s">
        <v>190</v>
      </c>
      <c r="C910" s="371" t="s">
        <v>224</v>
      </c>
      <c r="D910" s="431" t="s">
        <v>31</v>
      </c>
      <c r="E910" s="431" t="s">
        <v>1156</v>
      </c>
      <c r="F910" s="500" t="s">
        <v>191</v>
      </c>
      <c r="G910" s="500"/>
      <c r="H910" s="372" t="s">
        <v>32</v>
      </c>
      <c r="I910" s="373">
        <v>0.4</v>
      </c>
      <c r="J910" s="374">
        <v>16.39</v>
      </c>
      <c r="K910" s="374">
        <v>6.55</v>
      </c>
    </row>
    <row r="911" spans="2:11" ht="38.25" x14ac:dyDescent="0.25">
      <c r="B911" s="431" t="s">
        <v>190</v>
      </c>
      <c r="C911" s="371" t="s">
        <v>175</v>
      </c>
      <c r="D911" s="431" t="s">
        <v>31</v>
      </c>
      <c r="E911" s="431" t="s">
        <v>47</v>
      </c>
      <c r="F911" s="500" t="s">
        <v>191</v>
      </c>
      <c r="G911" s="500"/>
      <c r="H911" s="372" t="s">
        <v>32</v>
      </c>
      <c r="I911" s="373">
        <v>0.4</v>
      </c>
      <c r="J911" s="374">
        <v>11.67</v>
      </c>
      <c r="K911" s="374">
        <v>4.66</v>
      </c>
    </row>
    <row r="912" spans="2:11" ht="15" x14ac:dyDescent="0.25">
      <c r="B912" s="432"/>
      <c r="C912" s="432"/>
      <c r="D912" s="432"/>
      <c r="E912" s="432"/>
      <c r="F912" s="432"/>
      <c r="G912" s="375"/>
      <c r="H912" s="432"/>
      <c r="I912" s="375"/>
      <c r="J912" s="375"/>
      <c r="K912"/>
    </row>
    <row r="913" spans="2:11" ht="15.75" thickBot="1" x14ac:dyDescent="0.3">
      <c r="B913" s="432"/>
      <c r="C913" s="432"/>
      <c r="D913" s="432"/>
      <c r="E913" s="432"/>
      <c r="F913" s="432"/>
      <c r="G913" s="375"/>
      <c r="H913" s="432"/>
      <c r="I913" s="432"/>
      <c r="J913" s="375"/>
      <c r="K913"/>
    </row>
    <row r="914" spans="2:11" ht="13.5" thickTop="1" x14ac:dyDescent="0.25">
      <c r="B914" s="376"/>
      <c r="C914" s="376"/>
      <c r="D914" s="376"/>
      <c r="E914" s="376"/>
      <c r="F914" s="376"/>
      <c r="G914" s="376"/>
      <c r="H914" s="376"/>
      <c r="I914" s="376"/>
      <c r="J914" s="376"/>
      <c r="K914" s="376"/>
    </row>
    <row r="915" spans="2:11" ht="15" x14ac:dyDescent="0.25">
      <c r="B915" s="433" t="s">
        <v>1019</v>
      </c>
      <c r="C915" s="361" t="s">
        <v>0</v>
      </c>
      <c r="D915" s="433" t="s">
        <v>185</v>
      </c>
      <c r="E915" s="433" t="s">
        <v>83</v>
      </c>
      <c r="F915" s="498" t="s">
        <v>1</v>
      </c>
      <c r="G915" s="498"/>
      <c r="H915" s="362" t="s">
        <v>3</v>
      </c>
      <c r="I915" s="361" t="s">
        <v>186</v>
      </c>
      <c r="J915" s="361" t="s">
        <v>187</v>
      </c>
      <c r="K915" s="361" t="s">
        <v>4</v>
      </c>
    </row>
    <row r="916" spans="2:11" ht="25.5" x14ac:dyDescent="0.25">
      <c r="B916" s="434" t="s">
        <v>7</v>
      </c>
      <c r="C916" s="363" t="s">
        <v>1024</v>
      </c>
      <c r="D916" s="434" t="s">
        <v>905</v>
      </c>
      <c r="E916" s="434" t="s">
        <v>1025</v>
      </c>
      <c r="F916" s="499">
        <v>7</v>
      </c>
      <c r="G916" s="499"/>
      <c r="H916" s="364" t="s">
        <v>847</v>
      </c>
      <c r="I916" s="365">
        <v>1</v>
      </c>
      <c r="J916" s="366">
        <v>3.15</v>
      </c>
      <c r="K916" s="366">
        <v>3.15</v>
      </c>
    </row>
    <row r="917" spans="2:11" ht="25.5" x14ac:dyDescent="0.25">
      <c r="B917" s="431" t="s">
        <v>190</v>
      </c>
      <c r="C917" s="371" t="s">
        <v>1134</v>
      </c>
      <c r="D917" s="431" t="s">
        <v>905</v>
      </c>
      <c r="E917" s="431" t="s">
        <v>1135</v>
      </c>
      <c r="F917" s="500" t="s">
        <v>191</v>
      </c>
      <c r="G917" s="500"/>
      <c r="H917" s="372" t="s">
        <v>1126</v>
      </c>
      <c r="I917" s="373">
        <v>0.03</v>
      </c>
      <c r="J917" s="374">
        <v>12.31</v>
      </c>
      <c r="K917" s="374">
        <v>0.36</v>
      </c>
    </row>
    <row r="918" spans="2:11" ht="25.5" x14ac:dyDescent="0.25">
      <c r="B918" s="431" t="s">
        <v>190</v>
      </c>
      <c r="C918" s="371" t="s">
        <v>1233</v>
      </c>
      <c r="D918" s="431" t="s">
        <v>905</v>
      </c>
      <c r="E918" s="431" t="s">
        <v>1234</v>
      </c>
      <c r="F918" s="500" t="s">
        <v>199</v>
      </c>
      <c r="G918" s="500"/>
      <c r="H918" s="372" t="s">
        <v>227</v>
      </c>
      <c r="I918" s="373">
        <v>1</v>
      </c>
      <c r="J918" s="374">
        <v>2.2400000000000002</v>
      </c>
      <c r="K918" s="374">
        <v>2.2400000000000002</v>
      </c>
    </row>
    <row r="919" spans="2:11" ht="25.5" x14ac:dyDescent="0.25">
      <c r="B919" s="431" t="s">
        <v>190</v>
      </c>
      <c r="C919" s="371" t="s">
        <v>1136</v>
      </c>
      <c r="D919" s="431" t="s">
        <v>905</v>
      </c>
      <c r="E919" s="431" t="s">
        <v>225</v>
      </c>
      <c r="F919" s="500" t="s">
        <v>191</v>
      </c>
      <c r="G919" s="500"/>
      <c r="H919" s="372" t="s">
        <v>1126</v>
      </c>
      <c r="I919" s="373">
        <v>0.03</v>
      </c>
      <c r="J919" s="374">
        <v>18.510000000000002</v>
      </c>
      <c r="K919" s="374">
        <v>0.55000000000000004</v>
      </c>
    </row>
    <row r="920" spans="2:11" ht="15" x14ac:dyDescent="0.25">
      <c r="B920" s="432"/>
      <c r="C920" s="432"/>
      <c r="D920" s="432"/>
      <c r="E920" s="432"/>
      <c r="F920" s="432"/>
      <c r="G920" s="375"/>
      <c r="H920" s="432"/>
      <c r="I920" s="375"/>
      <c r="J920" s="375"/>
      <c r="K920"/>
    </row>
    <row r="921" spans="2:11" ht="15.75" thickBot="1" x14ac:dyDescent="0.3">
      <c r="B921" s="432"/>
      <c r="C921" s="432"/>
      <c r="D921" s="432"/>
      <c r="E921" s="432"/>
      <c r="F921" s="432"/>
      <c r="G921" s="375"/>
      <c r="H921" s="432"/>
      <c r="I921" s="432"/>
      <c r="J921" s="375"/>
      <c r="K921"/>
    </row>
    <row r="922" spans="2:11" ht="13.5" thickTop="1" x14ac:dyDescent="0.25">
      <c r="B922" s="376"/>
      <c r="C922" s="376"/>
      <c r="D922" s="376"/>
      <c r="E922" s="376"/>
      <c r="F922" s="376"/>
      <c r="G922" s="376"/>
      <c r="H922" s="376"/>
      <c r="I922" s="376"/>
      <c r="J922" s="376"/>
      <c r="K922" s="376"/>
    </row>
    <row r="923" spans="2:11" ht="15" x14ac:dyDescent="0.25">
      <c r="B923" s="433" t="s">
        <v>1020</v>
      </c>
      <c r="C923" s="361" t="s">
        <v>0</v>
      </c>
      <c r="D923" s="433" t="s">
        <v>185</v>
      </c>
      <c r="E923" s="433" t="s">
        <v>83</v>
      </c>
      <c r="F923" s="498" t="s">
        <v>1</v>
      </c>
      <c r="G923" s="498"/>
      <c r="H923" s="362" t="s">
        <v>3</v>
      </c>
      <c r="I923" s="361" t="s">
        <v>186</v>
      </c>
      <c r="J923" s="361" t="s">
        <v>187</v>
      </c>
      <c r="K923" s="361" t="s">
        <v>4</v>
      </c>
    </row>
    <row r="924" spans="2:11" ht="63.75" x14ac:dyDescent="0.25">
      <c r="B924" s="434" t="s">
        <v>7</v>
      </c>
      <c r="C924" s="363" t="s">
        <v>1255</v>
      </c>
      <c r="D924" s="434" t="s">
        <v>125</v>
      </c>
      <c r="E924" s="434" t="s">
        <v>1256</v>
      </c>
      <c r="F924" s="499" t="s">
        <v>1182</v>
      </c>
      <c r="G924" s="499"/>
      <c r="H924" s="364" t="s">
        <v>22</v>
      </c>
      <c r="I924" s="365">
        <v>1</v>
      </c>
      <c r="J924" s="366">
        <v>65.64</v>
      </c>
      <c r="K924" s="366">
        <v>65.64</v>
      </c>
    </row>
    <row r="925" spans="2:11" ht="38.25" x14ac:dyDescent="0.25">
      <c r="B925" s="430" t="s">
        <v>189</v>
      </c>
      <c r="C925" s="367" t="s">
        <v>220</v>
      </c>
      <c r="D925" s="430" t="s">
        <v>31</v>
      </c>
      <c r="E925" s="430" t="s">
        <v>221</v>
      </c>
      <c r="F925" s="497" t="s">
        <v>188</v>
      </c>
      <c r="G925" s="497"/>
      <c r="H925" s="368" t="s">
        <v>32</v>
      </c>
      <c r="I925" s="369">
        <v>0.85799999999999998</v>
      </c>
      <c r="J925" s="370">
        <v>22.58</v>
      </c>
      <c r="K925" s="370">
        <v>19.37</v>
      </c>
    </row>
    <row r="926" spans="2:11" ht="38.25" x14ac:dyDescent="0.25">
      <c r="B926" s="430" t="s">
        <v>189</v>
      </c>
      <c r="C926" s="367" t="s">
        <v>218</v>
      </c>
      <c r="D926" s="430" t="s">
        <v>31</v>
      </c>
      <c r="E926" s="430" t="s">
        <v>219</v>
      </c>
      <c r="F926" s="497" t="s">
        <v>188</v>
      </c>
      <c r="G926" s="497"/>
      <c r="H926" s="368" t="s">
        <v>32</v>
      </c>
      <c r="I926" s="369">
        <v>1.2110000000000001</v>
      </c>
      <c r="J926" s="370">
        <v>18.48</v>
      </c>
      <c r="K926" s="370">
        <v>22.37</v>
      </c>
    </row>
    <row r="927" spans="2:11" x14ac:dyDescent="0.25">
      <c r="B927" s="431" t="s">
        <v>190</v>
      </c>
      <c r="C927" s="371" t="s">
        <v>1323</v>
      </c>
      <c r="D927" s="431" t="s">
        <v>214</v>
      </c>
      <c r="E927" s="431" t="s">
        <v>1324</v>
      </c>
      <c r="F927" s="500" t="s">
        <v>199</v>
      </c>
      <c r="G927" s="500"/>
      <c r="H927" s="372" t="s">
        <v>22</v>
      </c>
      <c r="I927" s="373">
        <v>1</v>
      </c>
      <c r="J927" s="374">
        <v>23.9</v>
      </c>
      <c r="K927" s="374">
        <v>23.9</v>
      </c>
    </row>
    <row r="928" spans="2:11" ht="15" x14ac:dyDescent="0.25">
      <c r="B928" s="432"/>
      <c r="C928" s="432"/>
      <c r="D928" s="432"/>
      <c r="E928" s="432"/>
      <c r="F928" s="432"/>
      <c r="G928" s="375"/>
      <c r="H928" s="432"/>
      <c r="I928" s="375"/>
      <c r="J928" s="375"/>
      <c r="K928"/>
    </row>
    <row r="929" spans="2:11" ht="15.75" thickBot="1" x14ac:dyDescent="0.3">
      <c r="B929" s="432"/>
      <c r="C929" s="432"/>
      <c r="D929" s="432"/>
      <c r="E929" s="432"/>
      <c r="F929" s="432"/>
      <c r="G929" s="375"/>
      <c r="H929" s="432"/>
      <c r="I929" s="432"/>
      <c r="J929" s="375"/>
      <c r="K929"/>
    </row>
    <row r="930" spans="2:11" ht="13.5" thickTop="1" x14ac:dyDescent="0.25">
      <c r="B930" s="376"/>
      <c r="C930" s="376"/>
      <c r="D930" s="376"/>
      <c r="E930" s="376"/>
      <c r="F930" s="376"/>
      <c r="G930" s="376"/>
      <c r="H930" s="376"/>
      <c r="I930" s="376"/>
      <c r="J930" s="376"/>
      <c r="K930" s="376"/>
    </row>
    <row r="931" spans="2:11" ht="15" x14ac:dyDescent="0.25">
      <c r="B931" s="433" t="s">
        <v>1624</v>
      </c>
      <c r="C931" s="361" t="s">
        <v>0</v>
      </c>
      <c r="D931" s="433" t="s">
        <v>185</v>
      </c>
      <c r="E931" s="433" t="s">
        <v>83</v>
      </c>
      <c r="F931" s="498" t="s">
        <v>1</v>
      </c>
      <c r="G931" s="498"/>
      <c r="H931" s="362" t="s">
        <v>3</v>
      </c>
      <c r="I931" s="361" t="s">
        <v>186</v>
      </c>
      <c r="J931" s="361" t="s">
        <v>187</v>
      </c>
      <c r="K931" s="361" t="s">
        <v>4</v>
      </c>
    </row>
    <row r="932" spans="2:11" ht="25.5" x14ac:dyDescent="0.25">
      <c r="B932" s="434" t="s">
        <v>7</v>
      </c>
      <c r="C932" s="363" t="s">
        <v>997</v>
      </c>
      <c r="D932" s="434" t="s">
        <v>214</v>
      </c>
      <c r="E932" s="434" t="s">
        <v>998</v>
      </c>
      <c r="F932" s="499" t="s">
        <v>1314</v>
      </c>
      <c r="G932" s="499"/>
      <c r="H932" s="364" t="s">
        <v>22</v>
      </c>
      <c r="I932" s="365">
        <v>1</v>
      </c>
      <c r="J932" s="366">
        <v>31.73</v>
      </c>
      <c r="K932" s="366">
        <v>31.73</v>
      </c>
    </row>
    <row r="933" spans="2:11" ht="38.25" x14ac:dyDescent="0.25">
      <c r="B933" s="430" t="s">
        <v>189</v>
      </c>
      <c r="C933" s="367" t="s">
        <v>239</v>
      </c>
      <c r="D933" s="430" t="s">
        <v>31</v>
      </c>
      <c r="E933" s="430" t="s">
        <v>240</v>
      </c>
      <c r="F933" s="497" t="s">
        <v>188</v>
      </c>
      <c r="G933" s="497"/>
      <c r="H933" s="368" t="s">
        <v>32</v>
      </c>
      <c r="I933" s="369">
        <v>0.309</v>
      </c>
      <c r="J933" s="370">
        <v>17.7</v>
      </c>
      <c r="K933" s="370">
        <v>5.46</v>
      </c>
    </row>
    <row r="934" spans="2:11" ht="38.25" x14ac:dyDescent="0.25">
      <c r="B934" s="430" t="s">
        <v>189</v>
      </c>
      <c r="C934" s="367" t="s">
        <v>241</v>
      </c>
      <c r="D934" s="430" t="s">
        <v>31</v>
      </c>
      <c r="E934" s="430" t="s">
        <v>242</v>
      </c>
      <c r="F934" s="497" t="s">
        <v>188</v>
      </c>
      <c r="G934" s="497"/>
      <c r="H934" s="368" t="s">
        <v>32</v>
      </c>
      <c r="I934" s="369">
        <v>0.309</v>
      </c>
      <c r="J934" s="370">
        <v>21.73</v>
      </c>
      <c r="K934" s="370">
        <v>6.71</v>
      </c>
    </row>
    <row r="935" spans="2:11" x14ac:dyDescent="0.25">
      <c r="B935" s="431" t="s">
        <v>190</v>
      </c>
      <c r="C935" s="371" t="s">
        <v>1219</v>
      </c>
      <c r="D935" s="431" t="s">
        <v>214</v>
      </c>
      <c r="E935" s="431" t="s">
        <v>1220</v>
      </c>
      <c r="F935" s="500" t="s">
        <v>199</v>
      </c>
      <c r="G935" s="500"/>
      <c r="H935" s="372" t="s">
        <v>22</v>
      </c>
      <c r="I935" s="373">
        <v>1</v>
      </c>
      <c r="J935" s="374">
        <v>19.559999999999999</v>
      </c>
      <c r="K935" s="374">
        <v>19.559999999999999</v>
      </c>
    </row>
    <row r="936" spans="2:11" ht="15" x14ac:dyDescent="0.25">
      <c r="B936" s="432"/>
      <c r="C936" s="432"/>
      <c r="D936" s="432"/>
      <c r="E936" s="432"/>
      <c r="F936" s="432"/>
      <c r="G936" s="375"/>
      <c r="H936" s="432"/>
      <c r="I936" s="375"/>
      <c r="J936" s="375"/>
      <c r="K936"/>
    </row>
    <row r="937" spans="2:11" ht="15.75" thickBot="1" x14ac:dyDescent="0.3">
      <c r="B937" s="432"/>
      <c r="C937" s="432"/>
      <c r="D937" s="432"/>
      <c r="E937" s="432"/>
      <c r="F937" s="432"/>
      <c r="G937" s="375"/>
      <c r="H937" s="432"/>
      <c r="I937" s="432"/>
      <c r="J937" s="375"/>
      <c r="K937"/>
    </row>
    <row r="938" spans="2:11" ht="13.5" thickTop="1" x14ac:dyDescent="0.25">
      <c r="B938" s="376"/>
      <c r="C938" s="376"/>
      <c r="D938" s="376"/>
      <c r="E938" s="376"/>
      <c r="F938" s="376"/>
      <c r="G938" s="376"/>
      <c r="H938" s="376"/>
      <c r="I938" s="376"/>
      <c r="J938" s="376"/>
      <c r="K938" s="376"/>
    </row>
    <row r="939" spans="2:11" ht="15" x14ac:dyDescent="0.25">
      <c r="B939" s="433" t="s">
        <v>1023</v>
      </c>
      <c r="C939" s="361" t="s">
        <v>0</v>
      </c>
      <c r="D939" s="433" t="s">
        <v>185</v>
      </c>
      <c r="E939" s="433" t="s">
        <v>83</v>
      </c>
      <c r="F939" s="498" t="s">
        <v>1</v>
      </c>
      <c r="G939" s="498"/>
      <c r="H939" s="362" t="s">
        <v>3</v>
      </c>
      <c r="I939" s="361" t="s">
        <v>186</v>
      </c>
      <c r="J939" s="361" t="s">
        <v>187</v>
      </c>
      <c r="K939" s="361" t="s">
        <v>4</v>
      </c>
    </row>
    <row r="940" spans="2:11" ht="25.5" x14ac:dyDescent="0.25">
      <c r="B940" s="434" t="s">
        <v>7</v>
      </c>
      <c r="C940" s="363" t="s">
        <v>771</v>
      </c>
      <c r="D940" s="434" t="s">
        <v>125</v>
      </c>
      <c r="E940" s="434" t="s">
        <v>553</v>
      </c>
      <c r="F940" s="499" t="s">
        <v>252</v>
      </c>
      <c r="G940" s="499"/>
      <c r="H940" s="364" t="s">
        <v>22</v>
      </c>
      <c r="I940" s="365">
        <v>1</v>
      </c>
      <c r="J940" s="366">
        <v>80.89</v>
      </c>
      <c r="K940" s="366">
        <v>80.89</v>
      </c>
    </row>
    <row r="941" spans="2:11" ht="38.25" x14ac:dyDescent="0.25">
      <c r="B941" s="430" t="s">
        <v>189</v>
      </c>
      <c r="C941" s="367" t="s">
        <v>218</v>
      </c>
      <c r="D941" s="430" t="s">
        <v>31</v>
      </c>
      <c r="E941" s="430" t="s">
        <v>219</v>
      </c>
      <c r="F941" s="497" t="s">
        <v>188</v>
      </c>
      <c r="G941" s="497"/>
      <c r="H941" s="368" t="s">
        <v>32</v>
      </c>
      <c r="I941" s="369">
        <v>0.20619999999999999</v>
      </c>
      <c r="J941" s="370">
        <v>18.48</v>
      </c>
      <c r="K941" s="370">
        <v>3.81</v>
      </c>
    </row>
    <row r="942" spans="2:11" ht="38.25" x14ac:dyDescent="0.25">
      <c r="B942" s="430" t="s">
        <v>189</v>
      </c>
      <c r="C942" s="367" t="s">
        <v>220</v>
      </c>
      <c r="D942" s="430" t="s">
        <v>31</v>
      </c>
      <c r="E942" s="430" t="s">
        <v>221</v>
      </c>
      <c r="F942" s="497" t="s">
        <v>188</v>
      </c>
      <c r="G942" s="497"/>
      <c r="H942" s="368" t="s">
        <v>32</v>
      </c>
      <c r="I942" s="369">
        <v>0.20619999999999999</v>
      </c>
      <c r="J942" s="370">
        <v>22.58</v>
      </c>
      <c r="K942" s="370">
        <v>4.6500000000000004</v>
      </c>
    </row>
    <row r="943" spans="2:11" ht="38.25" x14ac:dyDescent="0.25">
      <c r="B943" s="430" t="s">
        <v>189</v>
      </c>
      <c r="C943" s="367" t="s">
        <v>323</v>
      </c>
      <c r="D943" s="430" t="s">
        <v>31</v>
      </c>
      <c r="E943" s="430" t="s">
        <v>324</v>
      </c>
      <c r="F943" s="497" t="s">
        <v>217</v>
      </c>
      <c r="G943" s="497"/>
      <c r="H943" s="368" t="s">
        <v>22</v>
      </c>
      <c r="I943" s="369">
        <v>1</v>
      </c>
      <c r="J943" s="370">
        <v>7.27</v>
      </c>
      <c r="K943" s="370">
        <v>7.27</v>
      </c>
    </row>
    <row r="944" spans="2:11" ht="38.25" x14ac:dyDescent="0.25">
      <c r="B944" s="431" t="s">
        <v>190</v>
      </c>
      <c r="C944" s="371" t="s">
        <v>333</v>
      </c>
      <c r="D944" s="431" t="s">
        <v>31</v>
      </c>
      <c r="E944" s="431" t="s">
        <v>334</v>
      </c>
      <c r="F944" s="500" t="s">
        <v>199</v>
      </c>
      <c r="G944" s="500"/>
      <c r="H944" s="372" t="s">
        <v>22</v>
      </c>
      <c r="I944" s="373">
        <v>2</v>
      </c>
      <c r="J944" s="374">
        <v>32.58</v>
      </c>
      <c r="K944" s="374">
        <v>65.16</v>
      </c>
    </row>
    <row r="945" spans="2:11" ht="15" x14ac:dyDescent="0.25">
      <c r="B945" s="432"/>
      <c r="C945" s="432"/>
      <c r="D945" s="432"/>
      <c r="E945" s="432"/>
      <c r="F945" s="432"/>
      <c r="G945" s="375"/>
      <c r="H945" s="432"/>
      <c r="I945" s="375"/>
      <c r="J945" s="375"/>
      <c r="K945"/>
    </row>
    <row r="946" spans="2:11" ht="15.75" thickBot="1" x14ac:dyDescent="0.3">
      <c r="B946" s="432"/>
      <c r="C946" s="432"/>
      <c r="D946" s="432"/>
      <c r="E946" s="432"/>
      <c r="F946" s="432"/>
      <c r="G946" s="375"/>
      <c r="H946" s="432"/>
      <c r="I946" s="432"/>
      <c r="J946" s="375"/>
      <c r="K946"/>
    </row>
    <row r="947" spans="2:11" ht="13.5" thickTop="1" x14ac:dyDescent="0.25">
      <c r="B947" s="376"/>
      <c r="C947" s="376"/>
      <c r="D947" s="376"/>
      <c r="E947" s="376"/>
      <c r="F947" s="376"/>
      <c r="G947" s="376"/>
      <c r="H947" s="376"/>
      <c r="I947" s="376"/>
      <c r="J947" s="376"/>
      <c r="K947" s="376"/>
    </row>
    <row r="948" spans="2:11" ht="15" x14ac:dyDescent="0.25">
      <c r="B948" s="433" t="s">
        <v>1254</v>
      </c>
      <c r="C948" s="361" t="s">
        <v>0</v>
      </c>
      <c r="D948" s="433" t="s">
        <v>185</v>
      </c>
      <c r="E948" s="433" t="s">
        <v>83</v>
      </c>
      <c r="F948" s="498" t="s">
        <v>1</v>
      </c>
      <c r="G948" s="498"/>
      <c r="H948" s="362" t="s">
        <v>3</v>
      </c>
      <c r="I948" s="361" t="s">
        <v>186</v>
      </c>
      <c r="J948" s="361" t="s">
        <v>187</v>
      </c>
      <c r="K948" s="361" t="s">
        <v>4</v>
      </c>
    </row>
    <row r="949" spans="2:11" ht="27.95" customHeight="1" x14ac:dyDescent="0.25">
      <c r="B949" s="434" t="s">
        <v>7</v>
      </c>
      <c r="C949" s="363" t="s">
        <v>1031</v>
      </c>
      <c r="D949" s="434" t="s">
        <v>905</v>
      </c>
      <c r="E949" s="434" t="s">
        <v>1032</v>
      </c>
      <c r="F949" s="499">
        <v>7</v>
      </c>
      <c r="G949" s="499"/>
      <c r="H949" s="364" t="s">
        <v>847</v>
      </c>
      <c r="I949" s="365">
        <v>1</v>
      </c>
      <c r="J949" s="366">
        <v>27.19</v>
      </c>
      <c r="K949" s="366">
        <v>27.19</v>
      </c>
    </row>
    <row r="950" spans="2:11" ht="27.95" customHeight="1" x14ac:dyDescent="0.25">
      <c r="B950" s="431" t="s">
        <v>190</v>
      </c>
      <c r="C950" s="371" t="s">
        <v>1235</v>
      </c>
      <c r="D950" s="431" t="s">
        <v>905</v>
      </c>
      <c r="E950" s="431" t="s">
        <v>1032</v>
      </c>
      <c r="F950" s="500" t="s">
        <v>199</v>
      </c>
      <c r="G950" s="500"/>
      <c r="H950" s="372" t="s">
        <v>227</v>
      </c>
      <c r="I950" s="373">
        <v>1</v>
      </c>
      <c r="J950" s="374">
        <v>15.8</v>
      </c>
      <c r="K950" s="374">
        <v>15.8</v>
      </c>
    </row>
    <row r="951" spans="2:11" ht="14.1" customHeight="1" x14ac:dyDescent="0.25">
      <c r="B951" s="431" t="s">
        <v>190</v>
      </c>
      <c r="C951" s="371" t="s">
        <v>1134</v>
      </c>
      <c r="D951" s="431" t="s">
        <v>905</v>
      </c>
      <c r="E951" s="431" t="s">
        <v>1135</v>
      </c>
      <c r="F951" s="500" t="s">
        <v>191</v>
      </c>
      <c r="G951" s="500"/>
      <c r="H951" s="372" t="s">
        <v>1126</v>
      </c>
      <c r="I951" s="373">
        <v>0.37</v>
      </c>
      <c r="J951" s="374">
        <v>12.31</v>
      </c>
      <c r="K951" s="374">
        <v>4.55</v>
      </c>
    </row>
    <row r="952" spans="2:11" ht="25.5" x14ac:dyDescent="0.25">
      <c r="B952" s="431" t="s">
        <v>190</v>
      </c>
      <c r="C952" s="371" t="s">
        <v>1136</v>
      </c>
      <c r="D952" s="431" t="s">
        <v>905</v>
      </c>
      <c r="E952" s="431" t="s">
        <v>225</v>
      </c>
      <c r="F952" s="500" t="s">
        <v>191</v>
      </c>
      <c r="G952" s="500"/>
      <c r="H952" s="372" t="s">
        <v>1126</v>
      </c>
      <c r="I952" s="373">
        <v>0.37</v>
      </c>
      <c r="J952" s="374">
        <v>18.510000000000002</v>
      </c>
      <c r="K952" s="374">
        <v>6.84</v>
      </c>
    </row>
    <row r="953" spans="2:11" ht="15" x14ac:dyDescent="0.25">
      <c r="B953" s="432"/>
      <c r="C953" s="432"/>
      <c r="D953" s="432"/>
      <c r="E953" s="432"/>
      <c r="F953" s="432"/>
      <c r="G953" s="375"/>
      <c r="H953" s="432"/>
      <c r="I953" s="375"/>
      <c r="J953" s="375"/>
      <c r="K953"/>
    </row>
    <row r="954" spans="2:11" ht="15" x14ac:dyDescent="0.25">
      <c r="B954" s="432"/>
      <c r="C954" s="432"/>
      <c r="D954" s="432"/>
      <c r="E954" s="432"/>
      <c r="F954" s="432"/>
      <c r="G954" s="375"/>
      <c r="H954" s="432"/>
      <c r="I954" s="432"/>
      <c r="J954" s="375"/>
      <c r="K954"/>
    </row>
    <row r="955" spans="2:11" ht="15" x14ac:dyDescent="0.25">
      <c r="B955" s="433" t="s">
        <v>1028</v>
      </c>
      <c r="C955" s="361" t="s">
        <v>0</v>
      </c>
      <c r="D955" s="433" t="s">
        <v>185</v>
      </c>
      <c r="E955" s="433" t="s">
        <v>83</v>
      </c>
      <c r="F955" s="498" t="s">
        <v>1</v>
      </c>
      <c r="G955" s="498"/>
      <c r="H955" s="362" t="s">
        <v>3</v>
      </c>
      <c r="I955" s="361" t="s">
        <v>186</v>
      </c>
      <c r="J955" s="361" t="s">
        <v>187</v>
      </c>
      <c r="K955" s="361" t="s">
        <v>4</v>
      </c>
    </row>
    <row r="956" spans="2:11" ht="51" x14ac:dyDescent="0.25">
      <c r="B956" s="434" t="s">
        <v>7</v>
      </c>
      <c r="C956" s="363" t="s">
        <v>1390</v>
      </c>
      <c r="D956" s="434" t="s">
        <v>125</v>
      </c>
      <c r="E956" s="434" t="s">
        <v>304</v>
      </c>
      <c r="F956" s="499" t="s">
        <v>1182</v>
      </c>
      <c r="G956" s="499"/>
      <c r="H956" s="364" t="s">
        <v>35</v>
      </c>
      <c r="I956" s="365">
        <v>1</v>
      </c>
      <c r="J956" s="366">
        <v>49.24</v>
      </c>
      <c r="K956" s="366">
        <v>49.24</v>
      </c>
    </row>
    <row r="957" spans="2:11" ht="38.25" x14ac:dyDescent="0.25">
      <c r="B957" s="430" t="s">
        <v>189</v>
      </c>
      <c r="C957" s="367" t="s">
        <v>218</v>
      </c>
      <c r="D957" s="430" t="s">
        <v>31</v>
      </c>
      <c r="E957" s="430" t="s">
        <v>219</v>
      </c>
      <c r="F957" s="497" t="s">
        <v>188</v>
      </c>
      <c r="G957" s="497"/>
      <c r="H957" s="368" t="s">
        <v>32</v>
      </c>
      <c r="I957" s="369">
        <v>0.89500000000000002</v>
      </c>
      <c r="J957" s="370">
        <v>18.48</v>
      </c>
      <c r="K957" s="370">
        <v>16.53</v>
      </c>
    </row>
    <row r="958" spans="2:11" ht="38.25" x14ac:dyDescent="0.25">
      <c r="B958" s="430" t="s">
        <v>189</v>
      </c>
      <c r="C958" s="367" t="s">
        <v>220</v>
      </c>
      <c r="D958" s="430" t="s">
        <v>31</v>
      </c>
      <c r="E958" s="430" t="s">
        <v>221</v>
      </c>
      <c r="F958" s="497" t="s">
        <v>188</v>
      </c>
      <c r="G958" s="497"/>
      <c r="H958" s="368" t="s">
        <v>32</v>
      </c>
      <c r="I958" s="369">
        <v>0.89500000000000002</v>
      </c>
      <c r="J958" s="370">
        <v>22.58</v>
      </c>
      <c r="K958" s="370">
        <v>20.2</v>
      </c>
    </row>
    <row r="959" spans="2:11" ht="38.25" x14ac:dyDescent="0.25">
      <c r="B959" s="431" t="s">
        <v>190</v>
      </c>
      <c r="C959" s="371" t="s">
        <v>1400</v>
      </c>
      <c r="D959" s="431" t="s">
        <v>31</v>
      </c>
      <c r="E959" s="431" t="s">
        <v>1401</v>
      </c>
      <c r="F959" s="500" t="s">
        <v>199</v>
      </c>
      <c r="G959" s="500"/>
      <c r="H959" s="372" t="s">
        <v>35</v>
      </c>
      <c r="I959" s="373">
        <v>1</v>
      </c>
      <c r="J959" s="374">
        <v>12.51</v>
      </c>
      <c r="K959" s="374">
        <v>12.51</v>
      </c>
    </row>
    <row r="960" spans="2:11" ht="15" x14ac:dyDescent="0.25">
      <c r="B960" s="432"/>
      <c r="C960" s="432"/>
      <c r="D960" s="432"/>
      <c r="E960" s="432"/>
      <c r="F960" s="432"/>
      <c r="G960" s="375"/>
      <c r="H960" s="432"/>
      <c r="I960" s="375"/>
      <c r="J960" s="375"/>
      <c r="K960"/>
    </row>
    <row r="961" spans="2:11" ht="15.75" thickBot="1" x14ac:dyDescent="0.3">
      <c r="B961" s="432"/>
      <c r="C961" s="432"/>
      <c r="D961" s="432"/>
      <c r="E961" s="432"/>
      <c r="F961" s="432"/>
      <c r="G961" s="375"/>
      <c r="H961" s="432"/>
      <c r="I961" s="432"/>
      <c r="J961" s="375"/>
      <c r="K961"/>
    </row>
    <row r="962" spans="2:11" ht="13.5" thickTop="1" x14ac:dyDescent="0.25">
      <c r="B962" s="376"/>
      <c r="C962" s="376"/>
      <c r="D962" s="376"/>
      <c r="E962" s="376"/>
      <c r="F962" s="376"/>
      <c r="G962" s="376"/>
      <c r="H962" s="376"/>
      <c r="I962" s="376"/>
      <c r="J962" s="376"/>
      <c r="K962" s="376"/>
    </row>
    <row r="963" spans="2:11" ht="15" x14ac:dyDescent="0.25">
      <c r="B963" s="433" t="s">
        <v>1029</v>
      </c>
      <c r="C963" s="361" t="s">
        <v>0</v>
      </c>
      <c r="D963" s="433" t="s">
        <v>185</v>
      </c>
      <c r="E963" s="433" t="s">
        <v>83</v>
      </c>
      <c r="F963" s="498" t="s">
        <v>1</v>
      </c>
      <c r="G963" s="498"/>
      <c r="H963" s="362" t="s">
        <v>3</v>
      </c>
      <c r="I963" s="361" t="s">
        <v>186</v>
      </c>
      <c r="J963" s="361" t="s">
        <v>187</v>
      </c>
      <c r="K963" s="361" t="s">
        <v>4</v>
      </c>
    </row>
    <row r="964" spans="2:11" ht="25.5" x14ac:dyDescent="0.25">
      <c r="B964" s="434" t="s">
        <v>7</v>
      </c>
      <c r="C964" s="363" t="s">
        <v>1247</v>
      </c>
      <c r="D964" s="434" t="s">
        <v>177</v>
      </c>
      <c r="E964" s="434" t="s">
        <v>1248</v>
      </c>
      <c r="F964" s="499" t="s">
        <v>1183</v>
      </c>
      <c r="G964" s="499"/>
      <c r="H964" s="364" t="s">
        <v>227</v>
      </c>
      <c r="I964" s="365">
        <v>1</v>
      </c>
      <c r="J964" s="366">
        <v>4.7</v>
      </c>
      <c r="K964" s="366">
        <v>4.7</v>
      </c>
    </row>
    <row r="965" spans="2:11" ht="38.25" x14ac:dyDescent="0.25">
      <c r="B965" s="430" t="s">
        <v>189</v>
      </c>
      <c r="C965" s="367" t="s">
        <v>1153</v>
      </c>
      <c r="D965" s="430" t="s">
        <v>177</v>
      </c>
      <c r="E965" s="430" t="s">
        <v>1154</v>
      </c>
      <c r="F965" s="497" t="s">
        <v>1125</v>
      </c>
      <c r="G965" s="497"/>
      <c r="H965" s="368" t="s">
        <v>1126</v>
      </c>
      <c r="I965" s="369">
        <v>0.1</v>
      </c>
      <c r="J965" s="370">
        <v>3.51</v>
      </c>
      <c r="K965" s="370">
        <v>0.35</v>
      </c>
    </row>
    <row r="966" spans="2:11" ht="38.25" x14ac:dyDescent="0.25">
      <c r="B966" s="430" t="s">
        <v>189</v>
      </c>
      <c r="C966" s="367" t="s">
        <v>1123</v>
      </c>
      <c r="D966" s="430" t="s">
        <v>177</v>
      </c>
      <c r="E966" s="430" t="s">
        <v>1124</v>
      </c>
      <c r="F966" s="497" t="s">
        <v>1125</v>
      </c>
      <c r="G966" s="497"/>
      <c r="H966" s="368" t="s">
        <v>1126</v>
      </c>
      <c r="I966" s="369">
        <v>0.1</v>
      </c>
      <c r="J966" s="370">
        <v>3.63</v>
      </c>
      <c r="K966" s="370">
        <v>0.36</v>
      </c>
    </row>
    <row r="967" spans="2:11" x14ac:dyDescent="0.25">
      <c r="B967" s="431" t="s">
        <v>190</v>
      </c>
      <c r="C967" s="371" t="s">
        <v>833</v>
      </c>
      <c r="D967" s="431" t="s">
        <v>177</v>
      </c>
      <c r="E967" s="431" t="s">
        <v>834</v>
      </c>
      <c r="F967" s="500" t="s">
        <v>199</v>
      </c>
      <c r="G967" s="500"/>
      <c r="H967" s="372" t="s">
        <v>227</v>
      </c>
      <c r="I967" s="373">
        <v>1</v>
      </c>
      <c r="J967" s="374">
        <v>1.2</v>
      </c>
      <c r="K967" s="374">
        <v>1.2</v>
      </c>
    </row>
    <row r="968" spans="2:11" ht="38.25" x14ac:dyDescent="0.25">
      <c r="B968" s="431" t="s">
        <v>190</v>
      </c>
      <c r="C968" s="371" t="s">
        <v>224</v>
      </c>
      <c r="D968" s="431" t="s">
        <v>31</v>
      </c>
      <c r="E968" s="431" t="s">
        <v>1156</v>
      </c>
      <c r="F968" s="500" t="s">
        <v>191</v>
      </c>
      <c r="G968" s="500"/>
      <c r="H968" s="372" t="s">
        <v>32</v>
      </c>
      <c r="I968" s="373">
        <v>0.1</v>
      </c>
      <c r="J968" s="374">
        <v>16.39</v>
      </c>
      <c r="K968" s="374">
        <v>1.63</v>
      </c>
    </row>
    <row r="969" spans="2:11" ht="38.25" x14ac:dyDescent="0.25">
      <c r="B969" s="431" t="s">
        <v>190</v>
      </c>
      <c r="C969" s="371" t="s">
        <v>175</v>
      </c>
      <c r="D969" s="431" t="s">
        <v>31</v>
      </c>
      <c r="E969" s="431" t="s">
        <v>47</v>
      </c>
      <c r="F969" s="500" t="s">
        <v>191</v>
      </c>
      <c r="G969" s="500"/>
      <c r="H969" s="372" t="s">
        <v>32</v>
      </c>
      <c r="I969" s="373">
        <v>0.1</v>
      </c>
      <c r="J969" s="374">
        <v>11.67</v>
      </c>
      <c r="K969" s="374">
        <v>1.1599999999999999</v>
      </c>
    </row>
    <row r="970" spans="2:11" ht="15" x14ac:dyDescent="0.25">
      <c r="B970" s="432"/>
      <c r="C970" s="432"/>
      <c r="D970" s="432"/>
      <c r="E970" s="432"/>
      <c r="F970" s="432"/>
      <c r="G970" s="375"/>
      <c r="H970" s="432"/>
      <c r="I970" s="375"/>
      <c r="J970" s="375"/>
      <c r="K970"/>
    </row>
    <row r="971" spans="2:11" ht="15.75" thickBot="1" x14ac:dyDescent="0.3">
      <c r="B971" s="432"/>
      <c r="C971" s="432"/>
      <c r="D971" s="432"/>
      <c r="E971" s="432"/>
      <c r="F971" s="432"/>
      <c r="G971" s="375"/>
      <c r="H971" s="432"/>
      <c r="I971" s="432"/>
      <c r="J971" s="375"/>
      <c r="K971"/>
    </row>
    <row r="972" spans="2:11" ht="13.5" thickTop="1" x14ac:dyDescent="0.25">
      <c r="B972" s="376"/>
      <c r="C972" s="376"/>
      <c r="D972" s="376"/>
      <c r="E972" s="376"/>
      <c r="F972" s="376"/>
      <c r="G972" s="376"/>
      <c r="H972" s="376"/>
      <c r="I972" s="376"/>
      <c r="J972" s="376"/>
      <c r="K972" s="376"/>
    </row>
    <row r="973" spans="2:11" ht="15" x14ac:dyDescent="0.25">
      <c r="B973" s="433" t="s">
        <v>1030</v>
      </c>
      <c r="C973" s="361" t="s">
        <v>0</v>
      </c>
      <c r="D973" s="433" t="s">
        <v>185</v>
      </c>
      <c r="E973" s="433" t="s">
        <v>83</v>
      </c>
      <c r="F973" s="498" t="s">
        <v>1</v>
      </c>
      <c r="G973" s="498"/>
      <c r="H973" s="362" t="s">
        <v>3</v>
      </c>
      <c r="I973" s="361" t="s">
        <v>186</v>
      </c>
      <c r="J973" s="361" t="s">
        <v>187</v>
      </c>
      <c r="K973" s="361" t="s">
        <v>4</v>
      </c>
    </row>
    <row r="974" spans="2:11" ht="25.5" x14ac:dyDescent="0.25">
      <c r="B974" s="434" t="s">
        <v>7</v>
      </c>
      <c r="C974" s="363" t="s">
        <v>1249</v>
      </c>
      <c r="D974" s="434" t="s">
        <v>177</v>
      </c>
      <c r="E974" s="434" t="s">
        <v>1242</v>
      </c>
      <c r="F974" s="499" t="s">
        <v>1232</v>
      </c>
      <c r="G974" s="499"/>
      <c r="H974" s="364" t="s">
        <v>227</v>
      </c>
      <c r="I974" s="365">
        <v>1</v>
      </c>
      <c r="J974" s="366">
        <v>5.1100000000000003</v>
      </c>
      <c r="K974" s="366">
        <v>5.1100000000000003</v>
      </c>
    </row>
    <row r="975" spans="2:11" ht="38.25" x14ac:dyDescent="0.25">
      <c r="B975" s="430" t="s">
        <v>189</v>
      </c>
      <c r="C975" s="367" t="s">
        <v>1123</v>
      </c>
      <c r="D975" s="430" t="s">
        <v>177</v>
      </c>
      <c r="E975" s="430" t="s">
        <v>1124</v>
      </c>
      <c r="F975" s="497" t="s">
        <v>1125</v>
      </c>
      <c r="G975" s="497"/>
      <c r="H975" s="368" t="s">
        <v>1126</v>
      </c>
      <c r="I975" s="369">
        <v>0.08</v>
      </c>
      <c r="J975" s="370">
        <v>3.63</v>
      </c>
      <c r="K975" s="370">
        <v>0.28999999999999998</v>
      </c>
    </row>
    <row r="976" spans="2:11" ht="38.25" x14ac:dyDescent="0.25">
      <c r="B976" s="430" t="s">
        <v>189</v>
      </c>
      <c r="C976" s="367" t="s">
        <v>1153</v>
      </c>
      <c r="D976" s="430" t="s">
        <v>177</v>
      </c>
      <c r="E976" s="430" t="s">
        <v>1154</v>
      </c>
      <c r="F976" s="497" t="s">
        <v>1125</v>
      </c>
      <c r="G976" s="497"/>
      <c r="H976" s="368" t="s">
        <v>1126</v>
      </c>
      <c r="I976" s="369">
        <v>0.08</v>
      </c>
      <c r="J976" s="370">
        <v>3.51</v>
      </c>
      <c r="K976" s="370">
        <v>0.28000000000000003</v>
      </c>
    </row>
    <row r="977" spans="2:11" x14ac:dyDescent="0.25">
      <c r="B977" s="431" t="s">
        <v>190</v>
      </c>
      <c r="C977" s="371" t="s">
        <v>1315</v>
      </c>
      <c r="D977" s="431" t="s">
        <v>177</v>
      </c>
      <c r="E977" s="431" t="s">
        <v>1316</v>
      </c>
      <c r="F977" s="500" t="s">
        <v>199</v>
      </c>
      <c r="G977" s="500"/>
      <c r="H977" s="372" t="s">
        <v>227</v>
      </c>
      <c r="I977" s="373">
        <v>1</v>
      </c>
      <c r="J977" s="374">
        <v>2.2999999999999998</v>
      </c>
      <c r="K977" s="374">
        <v>2.2999999999999998</v>
      </c>
    </row>
    <row r="978" spans="2:11" ht="38.25" x14ac:dyDescent="0.25">
      <c r="B978" s="431" t="s">
        <v>190</v>
      </c>
      <c r="C978" s="371" t="s">
        <v>224</v>
      </c>
      <c r="D978" s="431" t="s">
        <v>31</v>
      </c>
      <c r="E978" s="431" t="s">
        <v>1156</v>
      </c>
      <c r="F978" s="500" t="s">
        <v>191</v>
      </c>
      <c r="G978" s="500"/>
      <c r="H978" s="372" t="s">
        <v>32</v>
      </c>
      <c r="I978" s="373">
        <v>0.08</v>
      </c>
      <c r="J978" s="374">
        <v>16.39</v>
      </c>
      <c r="K978" s="374">
        <v>1.31</v>
      </c>
    </row>
    <row r="979" spans="2:11" ht="38.25" x14ac:dyDescent="0.25">
      <c r="B979" s="431" t="s">
        <v>190</v>
      </c>
      <c r="C979" s="371" t="s">
        <v>175</v>
      </c>
      <c r="D979" s="431" t="s">
        <v>31</v>
      </c>
      <c r="E979" s="431" t="s">
        <v>47</v>
      </c>
      <c r="F979" s="500" t="s">
        <v>191</v>
      </c>
      <c r="G979" s="500"/>
      <c r="H979" s="372" t="s">
        <v>32</v>
      </c>
      <c r="I979" s="373">
        <v>0.08</v>
      </c>
      <c r="J979" s="374">
        <v>11.67</v>
      </c>
      <c r="K979" s="374">
        <v>0.93</v>
      </c>
    </row>
    <row r="980" spans="2:11" ht="15" x14ac:dyDescent="0.25">
      <c r="B980" s="432"/>
      <c r="C980" s="432"/>
      <c r="D980" s="432"/>
      <c r="E980" s="432"/>
      <c r="F980" s="432"/>
      <c r="G980" s="375"/>
      <c r="H980" s="432"/>
      <c r="I980" s="375"/>
      <c r="J980" s="375"/>
      <c r="K980"/>
    </row>
    <row r="981" spans="2:11" ht="15" x14ac:dyDescent="0.25">
      <c r="B981" s="432"/>
      <c r="C981" s="432"/>
      <c r="D981" s="432"/>
      <c r="E981" s="432"/>
      <c r="F981" s="432"/>
      <c r="G981" s="375"/>
      <c r="H981" s="432"/>
      <c r="I981" s="432"/>
      <c r="J981" s="375"/>
      <c r="K981"/>
    </row>
    <row r="982" spans="2:11" ht="15" x14ac:dyDescent="0.25">
      <c r="B982" s="433" t="s">
        <v>1670</v>
      </c>
      <c r="C982" s="361" t="s">
        <v>0</v>
      </c>
      <c r="D982" s="433" t="s">
        <v>185</v>
      </c>
      <c r="E982" s="433" t="s">
        <v>83</v>
      </c>
      <c r="F982" s="498" t="s">
        <v>1</v>
      </c>
      <c r="G982" s="498"/>
      <c r="H982" s="362" t="s">
        <v>3</v>
      </c>
      <c r="I982" s="361" t="s">
        <v>186</v>
      </c>
      <c r="J982" s="361" t="s">
        <v>187</v>
      </c>
      <c r="K982" s="361" t="s">
        <v>4</v>
      </c>
    </row>
    <row r="983" spans="2:11" ht="25.5" x14ac:dyDescent="0.25">
      <c r="B983" s="434" t="s">
        <v>7</v>
      </c>
      <c r="C983" s="363" t="s">
        <v>951</v>
      </c>
      <c r="D983" s="434" t="s">
        <v>177</v>
      </c>
      <c r="E983" s="434" t="s">
        <v>952</v>
      </c>
      <c r="F983" s="499" t="s">
        <v>1183</v>
      </c>
      <c r="G983" s="499"/>
      <c r="H983" s="364" t="s">
        <v>227</v>
      </c>
      <c r="I983" s="365">
        <v>1</v>
      </c>
      <c r="J983" s="366">
        <v>11.92</v>
      </c>
      <c r="K983" s="366">
        <v>11.92</v>
      </c>
    </row>
    <row r="984" spans="2:11" ht="38.25" x14ac:dyDescent="0.25">
      <c r="B984" s="430" t="s">
        <v>189</v>
      </c>
      <c r="C984" s="367" t="s">
        <v>1153</v>
      </c>
      <c r="D984" s="430" t="s">
        <v>177</v>
      </c>
      <c r="E984" s="430" t="s">
        <v>1154</v>
      </c>
      <c r="F984" s="497" t="s">
        <v>1125</v>
      </c>
      <c r="G984" s="497"/>
      <c r="H984" s="368" t="s">
        <v>1126</v>
      </c>
      <c r="I984" s="369">
        <v>0.2</v>
      </c>
      <c r="J984" s="370">
        <v>3.51</v>
      </c>
      <c r="K984" s="370">
        <v>0.7</v>
      </c>
    </row>
    <row r="985" spans="2:11" ht="38.25" x14ac:dyDescent="0.25">
      <c r="B985" s="430" t="s">
        <v>189</v>
      </c>
      <c r="C985" s="367" t="s">
        <v>1123</v>
      </c>
      <c r="D985" s="430" t="s">
        <v>177</v>
      </c>
      <c r="E985" s="430" t="s">
        <v>1124</v>
      </c>
      <c r="F985" s="497" t="s">
        <v>1125</v>
      </c>
      <c r="G985" s="497"/>
      <c r="H985" s="368" t="s">
        <v>1126</v>
      </c>
      <c r="I985" s="369">
        <v>0.2</v>
      </c>
      <c r="J985" s="370">
        <v>3.63</v>
      </c>
      <c r="K985" s="370">
        <v>0.72</v>
      </c>
    </row>
    <row r="986" spans="2:11" x14ac:dyDescent="0.25">
      <c r="B986" s="431" t="s">
        <v>190</v>
      </c>
      <c r="C986" s="371" t="s">
        <v>835</v>
      </c>
      <c r="D986" s="431" t="s">
        <v>177</v>
      </c>
      <c r="E986" s="431" t="s">
        <v>836</v>
      </c>
      <c r="F986" s="500" t="s">
        <v>199</v>
      </c>
      <c r="G986" s="500"/>
      <c r="H986" s="372" t="s">
        <v>227</v>
      </c>
      <c r="I986" s="373">
        <v>1</v>
      </c>
      <c r="J986" s="374">
        <v>4.9000000000000004</v>
      </c>
      <c r="K986" s="374">
        <v>4.9000000000000004</v>
      </c>
    </row>
    <row r="987" spans="2:11" ht="38.25" x14ac:dyDescent="0.25">
      <c r="B987" s="431" t="s">
        <v>190</v>
      </c>
      <c r="C987" s="371" t="s">
        <v>224</v>
      </c>
      <c r="D987" s="431" t="s">
        <v>31</v>
      </c>
      <c r="E987" s="431" t="s">
        <v>1156</v>
      </c>
      <c r="F987" s="500" t="s">
        <v>191</v>
      </c>
      <c r="G987" s="500"/>
      <c r="H987" s="372" t="s">
        <v>32</v>
      </c>
      <c r="I987" s="373">
        <v>0.2</v>
      </c>
      <c r="J987" s="374">
        <v>16.39</v>
      </c>
      <c r="K987" s="374">
        <v>3.27</v>
      </c>
    </row>
    <row r="988" spans="2:11" ht="38.25" x14ac:dyDescent="0.25">
      <c r="B988" s="431" t="s">
        <v>190</v>
      </c>
      <c r="C988" s="371" t="s">
        <v>175</v>
      </c>
      <c r="D988" s="431" t="s">
        <v>31</v>
      </c>
      <c r="E988" s="431" t="s">
        <v>47</v>
      </c>
      <c r="F988" s="500" t="s">
        <v>191</v>
      </c>
      <c r="G988" s="500"/>
      <c r="H988" s="372" t="s">
        <v>32</v>
      </c>
      <c r="I988" s="373">
        <v>0.2</v>
      </c>
      <c r="J988" s="374">
        <v>11.67</v>
      </c>
      <c r="K988" s="374">
        <v>2.33</v>
      </c>
    </row>
    <row r="989" spans="2:11" ht="15" x14ac:dyDescent="0.25">
      <c r="B989" s="432"/>
      <c r="C989" s="432"/>
      <c r="D989" s="432"/>
      <c r="E989" s="432"/>
      <c r="F989" s="432"/>
      <c r="G989" s="375"/>
      <c r="H989" s="432"/>
      <c r="I989" s="375"/>
      <c r="J989" s="375"/>
      <c r="K989"/>
    </row>
    <row r="990" spans="2:11" ht="15" x14ac:dyDescent="0.25">
      <c r="B990" s="432"/>
      <c r="C990" s="432"/>
      <c r="D990" s="432"/>
      <c r="E990" s="432"/>
      <c r="F990" s="432"/>
      <c r="G990" s="375"/>
      <c r="H990" s="432"/>
      <c r="I990" s="432"/>
      <c r="J990" s="375"/>
      <c r="K990"/>
    </row>
    <row r="991" spans="2:11" ht="15.75" thickBot="1" x14ac:dyDescent="0.3">
      <c r="B991" s="432"/>
      <c r="C991" s="432"/>
      <c r="D991" s="432"/>
      <c r="E991" s="432"/>
      <c r="F991" s="432"/>
      <c r="G991" s="375"/>
      <c r="H991" s="432"/>
      <c r="I991" s="432"/>
      <c r="J991" s="375"/>
      <c r="K991"/>
    </row>
    <row r="992" spans="2:11" ht="13.5" thickTop="1" x14ac:dyDescent="0.25">
      <c r="B992" s="376"/>
      <c r="C992" s="376"/>
      <c r="D992" s="376"/>
      <c r="E992" s="376"/>
      <c r="F992" s="376"/>
      <c r="G992" s="376"/>
      <c r="H992" s="376"/>
      <c r="I992" s="376"/>
      <c r="J992" s="376"/>
      <c r="K992" s="376"/>
    </row>
    <row r="993" spans="2:11" ht="15" x14ac:dyDescent="0.25">
      <c r="B993" s="433" t="s">
        <v>1033</v>
      </c>
      <c r="C993" s="361" t="s">
        <v>0</v>
      </c>
      <c r="D993" s="433" t="s">
        <v>185</v>
      </c>
      <c r="E993" s="433" t="s">
        <v>83</v>
      </c>
      <c r="F993" s="498" t="s">
        <v>1</v>
      </c>
      <c r="G993" s="498"/>
      <c r="H993" s="362" t="s">
        <v>3</v>
      </c>
      <c r="I993" s="361" t="s">
        <v>186</v>
      </c>
      <c r="J993" s="361" t="s">
        <v>187</v>
      </c>
      <c r="K993" s="361" t="s">
        <v>4</v>
      </c>
    </row>
    <row r="994" spans="2:11" ht="38.25" x14ac:dyDescent="0.25">
      <c r="B994" s="434" t="s">
        <v>7</v>
      </c>
      <c r="C994" s="363" t="s">
        <v>1288</v>
      </c>
      <c r="D994" s="434" t="s">
        <v>267</v>
      </c>
      <c r="E994" s="434" t="s">
        <v>1289</v>
      </c>
      <c r="F994" s="499">
        <v>38.01</v>
      </c>
      <c r="G994" s="499"/>
      <c r="H994" s="364" t="s">
        <v>35</v>
      </c>
      <c r="I994" s="365">
        <v>1</v>
      </c>
      <c r="J994" s="366">
        <v>35.049999999999997</v>
      </c>
      <c r="K994" s="366">
        <v>35.049999999999997</v>
      </c>
    </row>
    <row r="995" spans="2:11" ht="38.25" x14ac:dyDescent="0.25">
      <c r="B995" s="431" t="s">
        <v>190</v>
      </c>
      <c r="C995" s="371" t="s">
        <v>1160</v>
      </c>
      <c r="D995" s="431" t="s">
        <v>267</v>
      </c>
      <c r="E995" s="431" t="s">
        <v>1161</v>
      </c>
      <c r="F995" s="500" t="s">
        <v>191</v>
      </c>
      <c r="G995" s="500"/>
      <c r="H995" s="372" t="s">
        <v>32</v>
      </c>
      <c r="I995" s="373">
        <v>0.6</v>
      </c>
      <c r="J995" s="374">
        <v>25.22</v>
      </c>
      <c r="K995" s="374">
        <v>15.13</v>
      </c>
    </row>
    <row r="996" spans="2:11" ht="38.25" x14ac:dyDescent="0.25">
      <c r="B996" s="431" t="s">
        <v>190</v>
      </c>
      <c r="C996" s="371" t="s">
        <v>1162</v>
      </c>
      <c r="D996" s="431" t="s">
        <v>267</v>
      </c>
      <c r="E996" s="431" t="s">
        <v>1163</v>
      </c>
      <c r="F996" s="500" t="s">
        <v>191</v>
      </c>
      <c r="G996" s="500"/>
      <c r="H996" s="372" t="s">
        <v>32</v>
      </c>
      <c r="I996" s="373">
        <v>0.6</v>
      </c>
      <c r="J996" s="374">
        <v>16.739999999999998</v>
      </c>
      <c r="K996" s="374">
        <v>10.039999999999999</v>
      </c>
    </row>
    <row r="997" spans="2:11" ht="38.25" x14ac:dyDescent="0.25">
      <c r="B997" s="431" t="s">
        <v>190</v>
      </c>
      <c r="C997" s="371" t="s">
        <v>1332</v>
      </c>
      <c r="D997" s="431" t="s">
        <v>267</v>
      </c>
      <c r="E997" s="431" t="s">
        <v>1333</v>
      </c>
      <c r="F997" s="500" t="s">
        <v>199</v>
      </c>
      <c r="G997" s="500"/>
      <c r="H997" s="372" t="s">
        <v>35</v>
      </c>
      <c r="I997" s="373">
        <v>1.1000000000000001</v>
      </c>
      <c r="J997" s="374">
        <v>8.99</v>
      </c>
      <c r="K997" s="374">
        <v>9.8800000000000008</v>
      </c>
    </row>
    <row r="998" spans="2:11" ht="15" x14ac:dyDescent="0.25">
      <c r="B998" s="432"/>
      <c r="C998" s="432"/>
      <c r="D998" s="432"/>
      <c r="E998" s="432"/>
      <c r="F998" s="432"/>
      <c r="G998" s="375"/>
      <c r="H998" s="432"/>
      <c r="I998" s="375"/>
      <c r="J998" s="375"/>
      <c r="K998"/>
    </row>
    <row r="999" spans="2:11" ht="15.75" thickBot="1" x14ac:dyDescent="0.3">
      <c r="B999" s="432"/>
      <c r="C999" s="432"/>
      <c r="D999" s="432"/>
      <c r="E999" s="432"/>
      <c r="F999" s="432"/>
      <c r="G999" s="375"/>
      <c r="H999" s="432"/>
      <c r="I999" s="432"/>
      <c r="J999" s="375"/>
      <c r="K999"/>
    </row>
    <row r="1000" spans="2:11" ht="13.5" thickTop="1" x14ac:dyDescent="0.25">
      <c r="B1000" s="376"/>
      <c r="C1000" s="376"/>
      <c r="D1000" s="376"/>
      <c r="E1000" s="376"/>
      <c r="F1000" s="376"/>
      <c r="G1000" s="376"/>
      <c r="H1000" s="376"/>
      <c r="I1000" s="376"/>
      <c r="J1000" s="376"/>
      <c r="K1000" s="376"/>
    </row>
    <row r="1001" spans="2:11" ht="15" x14ac:dyDescent="0.25">
      <c r="B1001" s="433" t="s">
        <v>1036</v>
      </c>
      <c r="C1001" s="361" t="s">
        <v>0</v>
      </c>
      <c r="D1001" s="433" t="s">
        <v>185</v>
      </c>
      <c r="E1001" s="433" t="s">
        <v>83</v>
      </c>
      <c r="F1001" s="498" t="s">
        <v>1</v>
      </c>
      <c r="G1001" s="498"/>
      <c r="H1001" s="362" t="s">
        <v>3</v>
      </c>
      <c r="I1001" s="361" t="s">
        <v>186</v>
      </c>
      <c r="J1001" s="361" t="s">
        <v>187</v>
      </c>
      <c r="K1001" s="361" t="s">
        <v>4</v>
      </c>
    </row>
    <row r="1002" spans="2:11" ht="25.5" x14ac:dyDescent="0.25">
      <c r="B1002" s="434" t="s">
        <v>7</v>
      </c>
      <c r="C1002" s="363" t="s">
        <v>772</v>
      </c>
      <c r="D1002" s="434" t="s">
        <v>214</v>
      </c>
      <c r="E1002" s="434" t="s">
        <v>773</v>
      </c>
      <c r="F1002" s="499" t="s">
        <v>1311</v>
      </c>
      <c r="G1002" s="499"/>
      <c r="H1002" s="364" t="s">
        <v>22</v>
      </c>
      <c r="I1002" s="365">
        <v>1</v>
      </c>
      <c r="J1002" s="366">
        <v>3035.07</v>
      </c>
      <c r="K1002" s="366">
        <v>3035.07</v>
      </c>
    </row>
    <row r="1003" spans="2:11" ht="38.25" x14ac:dyDescent="0.25">
      <c r="B1003" s="430" t="s">
        <v>189</v>
      </c>
      <c r="C1003" s="367" t="s">
        <v>222</v>
      </c>
      <c r="D1003" s="430" t="s">
        <v>31</v>
      </c>
      <c r="E1003" s="430" t="s">
        <v>223</v>
      </c>
      <c r="F1003" s="497" t="s">
        <v>188</v>
      </c>
      <c r="G1003" s="497"/>
      <c r="H1003" s="368" t="s">
        <v>32</v>
      </c>
      <c r="I1003" s="369">
        <v>1.169</v>
      </c>
      <c r="J1003" s="370">
        <v>18.12</v>
      </c>
      <c r="K1003" s="370">
        <v>21.18</v>
      </c>
    </row>
    <row r="1004" spans="2:11" ht="38.25" x14ac:dyDescent="0.25">
      <c r="B1004" s="430" t="s">
        <v>189</v>
      </c>
      <c r="C1004" s="367" t="s">
        <v>271</v>
      </c>
      <c r="D1004" s="430" t="s">
        <v>31</v>
      </c>
      <c r="E1004" s="430" t="s">
        <v>272</v>
      </c>
      <c r="F1004" s="497" t="s">
        <v>188</v>
      </c>
      <c r="G1004" s="497"/>
      <c r="H1004" s="368" t="s">
        <v>32</v>
      </c>
      <c r="I1004" s="369">
        <v>1.169</v>
      </c>
      <c r="J1004" s="370">
        <v>29.08</v>
      </c>
      <c r="K1004" s="370">
        <v>33.99</v>
      </c>
    </row>
    <row r="1005" spans="2:11" ht="25.5" x14ac:dyDescent="0.25">
      <c r="B1005" s="431" t="s">
        <v>190</v>
      </c>
      <c r="C1005" s="371" t="s">
        <v>850</v>
      </c>
      <c r="D1005" s="431" t="s">
        <v>214</v>
      </c>
      <c r="E1005" s="431" t="s">
        <v>851</v>
      </c>
      <c r="F1005" s="500" t="s">
        <v>199</v>
      </c>
      <c r="G1005" s="500"/>
      <c r="H1005" s="372" t="s">
        <v>22</v>
      </c>
      <c r="I1005" s="373">
        <v>1</v>
      </c>
      <c r="J1005" s="374">
        <v>2979.9</v>
      </c>
      <c r="K1005" s="374">
        <v>2979.9</v>
      </c>
    </row>
    <row r="1006" spans="2:11" ht="15" x14ac:dyDescent="0.25">
      <c r="B1006" s="432"/>
      <c r="C1006" s="432"/>
      <c r="D1006" s="432"/>
      <c r="E1006" s="432"/>
      <c r="F1006" s="432"/>
      <c r="G1006" s="375"/>
      <c r="H1006" s="432"/>
      <c r="I1006" s="375"/>
      <c r="J1006" s="375"/>
      <c r="K1006"/>
    </row>
    <row r="1007" spans="2:11" ht="15.75" thickBot="1" x14ac:dyDescent="0.3">
      <c r="B1007" s="432"/>
      <c r="C1007" s="432"/>
      <c r="D1007" s="432"/>
      <c r="E1007" s="432"/>
      <c r="F1007" s="432"/>
      <c r="G1007" s="375"/>
      <c r="H1007" s="432"/>
      <c r="I1007" s="432"/>
      <c r="J1007" s="375"/>
      <c r="K1007"/>
    </row>
    <row r="1008" spans="2:11" ht="13.5" thickTop="1" x14ac:dyDescent="0.25">
      <c r="B1008" s="376"/>
      <c r="C1008" s="376"/>
      <c r="D1008" s="376"/>
      <c r="E1008" s="376"/>
      <c r="F1008" s="376"/>
      <c r="G1008" s="376"/>
      <c r="H1008" s="376"/>
      <c r="I1008" s="376"/>
      <c r="J1008" s="376"/>
      <c r="K1008" s="376"/>
    </row>
    <row r="1009" spans="2:11" ht="15" x14ac:dyDescent="0.25">
      <c r="B1009" s="433" t="s">
        <v>1625</v>
      </c>
      <c r="C1009" s="361" t="s">
        <v>0</v>
      </c>
      <c r="D1009" s="433" t="s">
        <v>185</v>
      </c>
      <c r="E1009" s="433" t="s">
        <v>83</v>
      </c>
      <c r="F1009" s="498" t="s">
        <v>1</v>
      </c>
      <c r="G1009" s="498"/>
      <c r="H1009" s="362" t="s">
        <v>3</v>
      </c>
      <c r="I1009" s="361" t="s">
        <v>186</v>
      </c>
      <c r="J1009" s="361" t="s">
        <v>187</v>
      </c>
      <c r="K1009" s="361" t="s">
        <v>4</v>
      </c>
    </row>
    <row r="1010" spans="2:11" ht="25.5" x14ac:dyDescent="0.25">
      <c r="B1010" s="434" t="s">
        <v>7</v>
      </c>
      <c r="C1010" s="363" t="s">
        <v>777</v>
      </c>
      <c r="D1010" s="434" t="s">
        <v>214</v>
      </c>
      <c r="E1010" s="434" t="s">
        <v>778</v>
      </c>
      <c r="F1010" s="499" t="s">
        <v>1311</v>
      </c>
      <c r="G1010" s="499"/>
      <c r="H1010" s="364" t="s">
        <v>22</v>
      </c>
      <c r="I1010" s="365">
        <v>1</v>
      </c>
      <c r="J1010" s="366">
        <v>668.91</v>
      </c>
      <c r="K1010" s="366">
        <v>668.91</v>
      </c>
    </row>
    <row r="1011" spans="2:11" ht="38.25" x14ac:dyDescent="0.25">
      <c r="B1011" s="430" t="s">
        <v>189</v>
      </c>
      <c r="C1011" s="367" t="s">
        <v>271</v>
      </c>
      <c r="D1011" s="430" t="s">
        <v>31</v>
      </c>
      <c r="E1011" s="430" t="s">
        <v>272</v>
      </c>
      <c r="F1011" s="497" t="s">
        <v>188</v>
      </c>
      <c r="G1011" s="497"/>
      <c r="H1011" s="368" t="s">
        <v>32</v>
      </c>
      <c r="I1011" s="369">
        <v>2.1</v>
      </c>
      <c r="J1011" s="370">
        <v>29.08</v>
      </c>
      <c r="K1011" s="370">
        <v>61.06</v>
      </c>
    </row>
    <row r="1012" spans="2:11" ht="38.25" x14ac:dyDescent="0.25">
      <c r="B1012" s="430" t="s">
        <v>189</v>
      </c>
      <c r="C1012" s="367" t="s">
        <v>222</v>
      </c>
      <c r="D1012" s="430" t="s">
        <v>31</v>
      </c>
      <c r="E1012" s="430" t="s">
        <v>223</v>
      </c>
      <c r="F1012" s="497" t="s">
        <v>188</v>
      </c>
      <c r="G1012" s="497"/>
      <c r="H1012" s="368" t="s">
        <v>32</v>
      </c>
      <c r="I1012" s="369">
        <v>2.1</v>
      </c>
      <c r="J1012" s="370">
        <v>18.12</v>
      </c>
      <c r="K1012" s="370">
        <v>38.049999999999997</v>
      </c>
    </row>
    <row r="1013" spans="2:11" x14ac:dyDescent="0.25">
      <c r="B1013" s="431" t="s">
        <v>190</v>
      </c>
      <c r="C1013" s="371" t="s">
        <v>854</v>
      </c>
      <c r="D1013" s="431" t="s">
        <v>214</v>
      </c>
      <c r="E1013" s="431" t="s">
        <v>855</v>
      </c>
      <c r="F1013" s="500" t="s">
        <v>199</v>
      </c>
      <c r="G1013" s="500"/>
      <c r="H1013" s="372" t="s">
        <v>22</v>
      </c>
      <c r="I1013" s="373">
        <v>1</v>
      </c>
      <c r="J1013" s="374">
        <v>569.79999999999995</v>
      </c>
      <c r="K1013" s="374">
        <v>569.79999999999995</v>
      </c>
    </row>
    <row r="1014" spans="2:11" ht="15" x14ac:dyDescent="0.25">
      <c r="B1014" s="432"/>
      <c r="C1014" s="432"/>
      <c r="D1014" s="432"/>
      <c r="E1014" s="432"/>
      <c r="F1014" s="432"/>
      <c r="G1014" s="375"/>
      <c r="H1014" s="432"/>
      <c r="I1014" s="375"/>
      <c r="J1014" s="375"/>
      <c r="K1014"/>
    </row>
    <row r="1015" spans="2:11" ht="15.75" thickBot="1" x14ac:dyDescent="0.3">
      <c r="B1015" s="432"/>
      <c r="C1015" s="432"/>
      <c r="D1015" s="432"/>
      <c r="E1015" s="432"/>
      <c r="F1015" s="432"/>
      <c r="G1015" s="375"/>
      <c r="H1015" s="432"/>
      <c r="I1015" s="432"/>
      <c r="J1015" s="375"/>
      <c r="K1015"/>
    </row>
    <row r="1016" spans="2:11" ht="13.5" thickTop="1" x14ac:dyDescent="0.25">
      <c r="B1016" s="376"/>
      <c r="C1016" s="376"/>
      <c r="D1016" s="376"/>
      <c r="E1016" s="376"/>
      <c r="F1016" s="376"/>
      <c r="G1016" s="376"/>
      <c r="H1016" s="376"/>
      <c r="I1016" s="376"/>
      <c r="J1016" s="376"/>
      <c r="K1016" s="376"/>
    </row>
    <row r="1017" spans="2:11" ht="15" x14ac:dyDescent="0.25">
      <c r="B1017" s="433" t="s">
        <v>1626</v>
      </c>
      <c r="C1017" s="361" t="s">
        <v>0</v>
      </c>
      <c r="D1017" s="433" t="s">
        <v>185</v>
      </c>
      <c r="E1017" s="433" t="s">
        <v>83</v>
      </c>
      <c r="F1017" s="498" t="s">
        <v>1</v>
      </c>
      <c r="G1017" s="498"/>
      <c r="H1017" s="362" t="s">
        <v>3</v>
      </c>
      <c r="I1017" s="361" t="s">
        <v>186</v>
      </c>
      <c r="J1017" s="361" t="s">
        <v>187</v>
      </c>
      <c r="K1017" s="361" t="s">
        <v>4</v>
      </c>
    </row>
    <row r="1018" spans="2:11" ht="25.5" x14ac:dyDescent="0.25">
      <c r="B1018" s="434" t="s">
        <v>7</v>
      </c>
      <c r="C1018" s="363" t="s">
        <v>776</v>
      </c>
      <c r="D1018" s="434" t="s">
        <v>125</v>
      </c>
      <c r="E1018" s="434" t="s">
        <v>562</v>
      </c>
      <c r="F1018" s="499" t="s">
        <v>252</v>
      </c>
      <c r="G1018" s="499"/>
      <c r="H1018" s="364" t="s">
        <v>245</v>
      </c>
      <c r="I1018" s="365">
        <v>1</v>
      </c>
      <c r="J1018" s="366">
        <v>522.19000000000005</v>
      </c>
      <c r="K1018" s="366">
        <v>522.19000000000005</v>
      </c>
    </row>
    <row r="1019" spans="2:11" ht="38.25" x14ac:dyDescent="0.25">
      <c r="B1019" s="430" t="s">
        <v>189</v>
      </c>
      <c r="C1019" s="367" t="s">
        <v>220</v>
      </c>
      <c r="D1019" s="430" t="s">
        <v>31</v>
      </c>
      <c r="E1019" s="430" t="s">
        <v>221</v>
      </c>
      <c r="F1019" s="497" t="s">
        <v>188</v>
      </c>
      <c r="G1019" s="497"/>
      <c r="H1019" s="368" t="s">
        <v>32</v>
      </c>
      <c r="I1019" s="369">
        <v>0.2</v>
      </c>
      <c r="J1019" s="370">
        <v>22.58</v>
      </c>
      <c r="K1019" s="370">
        <v>4.51</v>
      </c>
    </row>
    <row r="1020" spans="2:11" ht="38.25" x14ac:dyDescent="0.25">
      <c r="B1020" s="430" t="s">
        <v>189</v>
      </c>
      <c r="C1020" s="367" t="s">
        <v>218</v>
      </c>
      <c r="D1020" s="430" t="s">
        <v>31</v>
      </c>
      <c r="E1020" s="430" t="s">
        <v>219</v>
      </c>
      <c r="F1020" s="497" t="s">
        <v>188</v>
      </c>
      <c r="G1020" s="497"/>
      <c r="H1020" s="368" t="s">
        <v>32</v>
      </c>
      <c r="I1020" s="369">
        <v>0.2</v>
      </c>
      <c r="J1020" s="370">
        <v>18.48</v>
      </c>
      <c r="K1020" s="370">
        <v>3.69</v>
      </c>
    </row>
    <row r="1021" spans="2:11" x14ac:dyDescent="0.25">
      <c r="B1021" s="431" t="s">
        <v>190</v>
      </c>
      <c r="C1021" s="371" t="s">
        <v>852</v>
      </c>
      <c r="D1021" s="431" t="s">
        <v>214</v>
      </c>
      <c r="E1021" s="431" t="s">
        <v>853</v>
      </c>
      <c r="F1021" s="500" t="s">
        <v>199</v>
      </c>
      <c r="G1021" s="500"/>
      <c r="H1021" s="372" t="s">
        <v>22</v>
      </c>
      <c r="I1021" s="373">
        <v>1</v>
      </c>
      <c r="J1021" s="374">
        <v>513.99</v>
      </c>
      <c r="K1021" s="374">
        <v>513.99</v>
      </c>
    </row>
    <row r="1022" spans="2:11" ht="15" x14ac:dyDescent="0.25">
      <c r="B1022" s="432"/>
      <c r="C1022" s="432"/>
      <c r="D1022" s="432"/>
      <c r="E1022" s="432"/>
      <c r="F1022" s="432"/>
      <c r="G1022" s="375"/>
      <c r="H1022" s="432"/>
      <c r="I1022" s="375"/>
      <c r="J1022" s="375"/>
      <c r="K1022"/>
    </row>
    <row r="1023" spans="2:11" ht="15.75" thickBot="1" x14ac:dyDescent="0.3">
      <c r="B1023" s="432"/>
      <c r="C1023" s="432"/>
      <c r="D1023" s="432"/>
      <c r="E1023" s="432"/>
      <c r="F1023" s="432"/>
      <c r="G1023" s="375"/>
      <c r="H1023" s="432"/>
      <c r="I1023" s="432"/>
      <c r="J1023" s="375"/>
      <c r="K1023"/>
    </row>
    <row r="1024" spans="2:11" ht="13.5" thickTop="1" x14ac:dyDescent="0.25">
      <c r="B1024" s="376"/>
      <c r="C1024" s="376"/>
      <c r="D1024" s="376"/>
      <c r="E1024" s="376"/>
      <c r="F1024" s="376"/>
      <c r="G1024" s="376"/>
      <c r="H1024" s="376"/>
      <c r="I1024" s="376"/>
      <c r="J1024" s="376"/>
      <c r="K1024" s="376"/>
    </row>
    <row r="1025" spans="2:11" ht="15" x14ac:dyDescent="0.25">
      <c r="B1025" s="433" t="s">
        <v>1037</v>
      </c>
      <c r="C1025" s="361" t="s">
        <v>0</v>
      </c>
      <c r="D1025" s="433" t="s">
        <v>185</v>
      </c>
      <c r="E1025" s="433" t="s">
        <v>83</v>
      </c>
      <c r="F1025" s="498" t="s">
        <v>1</v>
      </c>
      <c r="G1025" s="498"/>
      <c r="H1025" s="362" t="s">
        <v>3</v>
      </c>
      <c r="I1025" s="361" t="s">
        <v>186</v>
      </c>
      <c r="J1025" s="361" t="s">
        <v>187</v>
      </c>
      <c r="K1025" s="361" t="s">
        <v>4</v>
      </c>
    </row>
    <row r="1026" spans="2:11" ht="25.5" x14ac:dyDescent="0.25">
      <c r="B1026" s="434" t="s">
        <v>7</v>
      </c>
      <c r="C1026" s="363" t="s">
        <v>779</v>
      </c>
      <c r="D1026" s="434" t="s">
        <v>214</v>
      </c>
      <c r="E1026" s="434" t="s">
        <v>780</v>
      </c>
      <c r="F1026" s="499" t="s">
        <v>1311</v>
      </c>
      <c r="G1026" s="499"/>
      <c r="H1026" s="364" t="s">
        <v>22</v>
      </c>
      <c r="I1026" s="365">
        <v>1</v>
      </c>
      <c r="J1026" s="366">
        <v>67.459999999999994</v>
      </c>
      <c r="K1026" s="366">
        <v>67.459999999999994</v>
      </c>
    </row>
    <row r="1027" spans="2:11" ht="38.25" x14ac:dyDescent="0.25">
      <c r="B1027" s="430" t="s">
        <v>189</v>
      </c>
      <c r="C1027" s="367" t="s">
        <v>218</v>
      </c>
      <c r="D1027" s="430" t="s">
        <v>31</v>
      </c>
      <c r="E1027" s="430" t="s">
        <v>219</v>
      </c>
      <c r="F1027" s="497" t="s">
        <v>188</v>
      </c>
      <c r="G1027" s="497"/>
      <c r="H1027" s="368" t="s">
        <v>32</v>
      </c>
      <c r="I1027" s="369">
        <v>0.2</v>
      </c>
      <c r="J1027" s="370">
        <v>18.48</v>
      </c>
      <c r="K1027" s="370">
        <v>3.69</v>
      </c>
    </row>
    <row r="1028" spans="2:11" x14ac:dyDescent="0.25">
      <c r="B1028" s="431" t="s">
        <v>190</v>
      </c>
      <c r="C1028" s="371" t="s">
        <v>856</v>
      </c>
      <c r="D1028" s="431" t="s">
        <v>214</v>
      </c>
      <c r="E1028" s="431" t="s">
        <v>857</v>
      </c>
      <c r="F1028" s="500" t="s">
        <v>199</v>
      </c>
      <c r="G1028" s="500"/>
      <c r="H1028" s="372" t="s">
        <v>22</v>
      </c>
      <c r="I1028" s="373">
        <v>1</v>
      </c>
      <c r="J1028" s="374">
        <v>63.77</v>
      </c>
      <c r="K1028" s="374">
        <v>63.77</v>
      </c>
    </row>
    <row r="1029" spans="2:11" ht="15" x14ac:dyDescent="0.25">
      <c r="B1029" s="432"/>
      <c r="C1029" s="432"/>
      <c r="D1029" s="432"/>
      <c r="E1029" s="432"/>
      <c r="F1029" s="432"/>
      <c r="G1029" s="375"/>
      <c r="H1029" s="432"/>
      <c r="I1029" s="375"/>
      <c r="J1029" s="375"/>
      <c r="K1029"/>
    </row>
    <row r="1030" spans="2:11" ht="15.75" thickBot="1" x14ac:dyDescent="0.3">
      <c r="B1030" s="432"/>
      <c r="C1030" s="432"/>
      <c r="D1030" s="432"/>
      <c r="E1030" s="432"/>
      <c r="F1030" s="432"/>
      <c r="G1030" s="375"/>
      <c r="H1030" s="432"/>
      <c r="I1030" s="432"/>
      <c r="J1030" s="375"/>
      <c r="K1030"/>
    </row>
    <row r="1031" spans="2:11" ht="13.5" thickTop="1" x14ac:dyDescent="0.25">
      <c r="B1031" s="376"/>
      <c r="C1031" s="376"/>
      <c r="D1031" s="376"/>
      <c r="E1031" s="376"/>
      <c r="F1031" s="376"/>
      <c r="G1031" s="376"/>
      <c r="H1031" s="376"/>
      <c r="I1031" s="376"/>
      <c r="J1031" s="376"/>
      <c r="K1031" s="376"/>
    </row>
    <row r="1032" spans="2:11" ht="15" x14ac:dyDescent="0.25">
      <c r="B1032" s="433" t="s">
        <v>1627</v>
      </c>
      <c r="C1032" s="361" t="s">
        <v>0</v>
      </c>
      <c r="D1032" s="433" t="s">
        <v>185</v>
      </c>
      <c r="E1032" s="433" t="s">
        <v>83</v>
      </c>
      <c r="F1032" s="498" t="s">
        <v>1</v>
      </c>
      <c r="G1032" s="498"/>
      <c r="H1032" s="362" t="s">
        <v>3</v>
      </c>
      <c r="I1032" s="361" t="s">
        <v>186</v>
      </c>
      <c r="J1032" s="361" t="s">
        <v>187</v>
      </c>
      <c r="K1032" s="361" t="s">
        <v>4</v>
      </c>
    </row>
    <row r="1033" spans="2:11" ht="25.5" x14ac:dyDescent="0.25">
      <c r="B1033" s="434" t="s">
        <v>7</v>
      </c>
      <c r="C1033" s="363" t="s">
        <v>781</v>
      </c>
      <c r="D1033" s="434" t="s">
        <v>31</v>
      </c>
      <c r="E1033" s="434" t="s">
        <v>782</v>
      </c>
      <c r="F1033" s="499" t="s">
        <v>252</v>
      </c>
      <c r="G1033" s="499"/>
      <c r="H1033" s="364" t="s">
        <v>22</v>
      </c>
      <c r="I1033" s="365">
        <v>1</v>
      </c>
      <c r="J1033" s="366">
        <v>900.27</v>
      </c>
      <c r="K1033" s="366">
        <v>900.27</v>
      </c>
    </row>
    <row r="1034" spans="2:11" ht="38.25" x14ac:dyDescent="0.25">
      <c r="B1034" s="430" t="s">
        <v>189</v>
      </c>
      <c r="C1034" s="367" t="s">
        <v>218</v>
      </c>
      <c r="D1034" s="430" t="s">
        <v>31</v>
      </c>
      <c r="E1034" s="430" t="s">
        <v>219</v>
      </c>
      <c r="F1034" s="497" t="s">
        <v>188</v>
      </c>
      <c r="G1034" s="497"/>
      <c r="H1034" s="368" t="s">
        <v>32</v>
      </c>
      <c r="I1034" s="369">
        <v>6.2007000000000003</v>
      </c>
      <c r="J1034" s="370">
        <v>18.48</v>
      </c>
      <c r="K1034" s="370">
        <v>114.58</v>
      </c>
    </row>
    <row r="1035" spans="2:11" ht="38.25" x14ac:dyDescent="0.25">
      <c r="B1035" s="430" t="s">
        <v>189</v>
      </c>
      <c r="C1035" s="367" t="s">
        <v>220</v>
      </c>
      <c r="D1035" s="430" t="s">
        <v>31</v>
      </c>
      <c r="E1035" s="430" t="s">
        <v>221</v>
      </c>
      <c r="F1035" s="497" t="s">
        <v>188</v>
      </c>
      <c r="G1035" s="497"/>
      <c r="H1035" s="368" t="s">
        <v>32</v>
      </c>
      <c r="I1035" s="369">
        <v>6.2007000000000003</v>
      </c>
      <c r="J1035" s="370">
        <v>22.58</v>
      </c>
      <c r="K1035" s="370">
        <v>140.01</v>
      </c>
    </row>
    <row r="1036" spans="2:11" ht="38.25" x14ac:dyDescent="0.25">
      <c r="B1036" s="431" t="s">
        <v>190</v>
      </c>
      <c r="C1036" s="371" t="s">
        <v>858</v>
      </c>
      <c r="D1036" s="431" t="s">
        <v>31</v>
      </c>
      <c r="E1036" s="431" t="s">
        <v>859</v>
      </c>
      <c r="F1036" s="500" t="s">
        <v>199</v>
      </c>
      <c r="G1036" s="500"/>
      <c r="H1036" s="372" t="s">
        <v>22</v>
      </c>
      <c r="I1036" s="373">
        <v>1</v>
      </c>
      <c r="J1036" s="374">
        <v>645.67999999999995</v>
      </c>
      <c r="K1036" s="374">
        <v>645.67999999999995</v>
      </c>
    </row>
    <row r="1037" spans="2:11" ht="15" x14ac:dyDescent="0.25">
      <c r="B1037" s="432"/>
      <c r="C1037" s="432"/>
      <c r="D1037" s="432"/>
      <c r="E1037" s="432"/>
      <c r="F1037" s="432"/>
      <c r="G1037" s="375"/>
      <c r="H1037" s="432"/>
      <c r="I1037" s="375"/>
      <c r="J1037" s="375"/>
      <c r="K1037"/>
    </row>
    <row r="1038" spans="2:11" ht="15.75" thickBot="1" x14ac:dyDescent="0.3">
      <c r="B1038" s="432"/>
      <c r="C1038" s="432"/>
      <c r="D1038" s="432"/>
      <c r="E1038" s="432"/>
      <c r="F1038" s="432"/>
      <c r="G1038" s="375"/>
      <c r="H1038" s="432"/>
      <c r="I1038" s="432"/>
      <c r="J1038" s="375"/>
      <c r="K1038"/>
    </row>
    <row r="1039" spans="2:11" ht="13.5" thickTop="1" x14ac:dyDescent="0.25">
      <c r="B1039" s="376"/>
      <c r="C1039" s="376"/>
      <c r="D1039" s="376"/>
      <c r="E1039" s="376"/>
      <c r="F1039" s="376"/>
      <c r="G1039" s="376"/>
      <c r="H1039" s="376"/>
      <c r="I1039" s="376"/>
      <c r="J1039" s="376"/>
      <c r="K1039" s="376"/>
    </row>
    <row r="1040" spans="2:11" ht="15" x14ac:dyDescent="0.25">
      <c r="B1040" s="433" t="s">
        <v>1628</v>
      </c>
      <c r="C1040" s="361" t="s">
        <v>0</v>
      </c>
      <c r="D1040" s="433" t="s">
        <v>185</v>
      </c>
      <c r="E1040" s="433" t="s">
        <v>83</v>
      </c>
      <c r="F1040" s="498" t="s">
        <v>1</v>
      </c>
      <c r="G1040" s="498"/>
      <c r="H1040" s="362" t="s">
        <v>3</v>
      </c>
      <c r="I1040" s="361" t="s">
        <v>186</v>
      </c>
      <c r="J1040" s="361" t="s">
        <v>187</v>
      </c>
      <c r="K1040" s="361" t="s">
        <v>4</v>
      </c>
    </row>
    <row r="1041" spans="2:11" ht="25.5" x14ac:dyDescent="0.25">
      <c r="B1041" s="434" t="s">
        <v>7</v>
      </c>
      <c r="C1041" s="363" t="s">
        <v>783</v>
      </c>
      <c r="D1041" s="434" t="s">
        <v>214</v>
      </c>
      <c r="E1041" s="434" t="s">
        <v>784</v>
      </c>
      <c r="F1041" s="499" t="s">
        <v>1311</v>
      </c>
      <c r="G1041" s="499"/>
      <c r="H1041" s="364" t="s">
        <v>22</v>
      </c>
      <c r="I1041" s="365">
        <v>1</v>
      </c>
      <c r="J1041" s="366">
        <v>99.19</v>
      </c>
      <c r="K1041" s="366">
        <v>99.19</v>
      </c>
    </row>
    <row r="1042" spans="2:11" ht="38.25" x14ac:dyDescent="0.25">
      <c r="B1042" s="430" t="s">
        <v>189</v>
      </c>
      <c r="C1042" s="367" t="s">
        <v>218</v>
      </c>
      <c r="D1042" s="430" t="s">
        <v>31</v>
      </c>
      <c r="E1042" s="430" t="s">
        <v>219</v>
      </c>
      <c r="F1042" s="497" t="s">
        <v>188</v>
      </c>
      <c r="G1042" s="497"/>
      <c r="H1042" s="368" t="s">
        <v>32</v>
      </c>
      <c r="I1042" s="369">
        <v>0.2</v>
      </c>
      <c r="J1042" s="370">
        <v>18.48</v>
      </c>
      <c r="K1042" s="370">
        <v>3.69</v>
      </c>
    </row>
    <row r="1043" spans="2:11" x14ac:dyDescent="0.25">
      <c r="B1043" s="431" t="s">
        <v>190</v>
      </c>
      <c r="C1043" s="371" t="s">
        <v>860</v>
      </c>
      <c r="D1043" s="431" t="s">
        <v>214</v>
      </c>
      <c r="E1043" s="431" t="s">
        <v>861</v>
      </c>
      <c r="F1043" s="500" t="s">
        <v>199</v>
      </c>
      <c r="G1043" s="500"/>
      <c r="H1043" s="372" t="s">
        <v>22</v>
      </c>
      <c r="I1043" s="373">
        <v>1</v>
      </c>
      <c r="J1043" s="374">
        <v>95.5</v>
      </c>
      <c r="K1043" s="374">
        <v>95.5</v>
      </c>
    </row>
    <row r="1044" spans="2:11" ht="15" x14ac:dyDescent="0.25">
      <c r="B1044" s="432"/>
      <c r="C1044" s="432"/>
      <c r="D1044" s="432"/>
      <c r="E1044" s="432"/>
      <c r="F1044" s="432"/>
      <c r="G1044" s="375"/>
      <c r="H1044" s="432"/>
      <c r="I1044" s="375"/>
      <c r="J1044" s="375"/>
      <c r="K1044"/>
    </row>
    <row r="1045" spans="2:11" ht="15.75" thickBot="1" x14ac:dyDescent="0.3">
      <c r="B1045" s="432"/>
      <c r="C1045" s="432"/>
      <c r="D1045" s="432"/>
      <c r="E1045" s="432"/>
      <c r="F1045" s="432"/>
      <c r="G1045" s="375"/>
      <c r="H1045" s="432"/>
      <c r="I1045" s="432"/>
      <c r="J1045" s="375"/>
      <c r="K1045"/>
    </row>
    <row r="1046" spans="2:11" ht="13.5" thickTop="1" x14ac:dyDescent="0.25">
      <c r="B1046" s="376"/>
      <c r="C1046" s="376"/>
      <c r="D1046" s="376"/>
      <c r="E1046" s="376"/>
      <c r="F1046" s="376"/>
      <c r="G1046" s="376"/>
      <c r="H1046" s="376"/>
      <c r="I1046" s="376"/>
      <c r="J1046" s="376"/>
      <c r="K1046" s="376"/>
    </row>
    <row r="1047" spans="2:11" ht="15" x14ac:dyDescent="0.25">
      <c r="B1047" s="433" t="s">
        <v>1629</v>
      </c>
      <c r="C1047" s="361" t="s">
        <v>0</v>
      </c>
      <c r="D1047" s="433" t="s">
        <v>185</v>
      </c>
      <c r="E1047" s="433" t="s">
        <v>83</v>
      </c>
      <c r="F1047" s="498" t="s">
        <v>1</v>
      </c>
      <c r="G1047" s="498"/>
      <c r="H1047" s="362" t="s">
        <v>3</v>
      </c>
      <c r="I1047" s="361" t="s">
        <v>186</v>
      </c>
      <c r="J1047" s="361" t="s">
        <v>187</v>
      </c>
      <c r="K1047" s="361" t="s">
        <v>4</v>
      </c>
    </row>
    <row r="1048" spans="2:11" ht="25.5" x14ac:dyDescent="0.25">
      <c r="B1048" s="434" t="s">
        <v>7</v>
      </c>
      <c r="C1048" s="363" t="s">
        <v>1357</v>
      </c>
      <c r="D1048" s="434" t="s">
        <v>214</v>
      </c>
      <c r="E1048" s="434" t="s">
        <v>1358</v>
      </c>
      <c r="F1048" s="499" t="s">
        <v>1311</v>
      </c>
      <c r="G1048" s="499"/>
      <c r="H1048" s="364" t="s">
        <v>22</v>
      </c>
      <c r="I1048" s="365">
        <v>1</v>
      </c>
      <c r="J1048" s="366">
        <v>1134.55</v>
      </c>
      <c r="K1048" s="366">
        <v>1134.55</v>
      </c>
    </row>
    <row r="1049" spans="2:11" ht="38.25" x14ac:dyDescent="0.25">
      <c r="B1049" s="430" t="s">
        <v>189</v>
      </c>
      <c r="C1049" s="367" t="s">
        <v>220</v>
      </c>
      <c r="D1049" s="430" t="s">
        <v>31</v>
      </c>
      <c r="E1049" s="430" t="s">
        <v>221</v>
      </c>
      <c r="F1049" s="497" t="s">
        <v>188</v>
      </c>
      <c r="G1049" s="497"/>
      <c r="H1049" s="368" t="s">
        <v>32</v>
      </c>
      <c r="I1049" s="369">
        <v>2.0619999999999998</v>
      </c>
      <c r="J1049" s="370">
        <v>22.58</v>
      </c>
      <c r="K1049" s="370">
        <v>46.55</v>
      </c>
    </row>
    <row r="1050" spans="2:11" ht="38.25" x14ac:dyDescent="0.25">
      <c r="B1050" s="430" t="s">
        <v>189</v>
      </c>
      <c r="C1050" s="367" t="s">
        <v>218</v>
      </c>
      <c r="D1050" s="430" t="s">
        <v>31</v>
      </c>
      <c r="E1050" s="430" t="s">
        <v>219</v>
      </c>
      <c r="F1050" s="497" t="s">
        <v>188</v>
      </c>
      <c r="G1050" s="497"/>
      <c r="H1050" s="368" t="s">
        <v>32</v>
      </c>
      <c r="I1050" s="369">
        <v>2.0619999999999998</v>
      </c>
      <c r="J1050" s="370">
        <v>18.48</v>
      </c>
      <c r="K1050" s="370">
        <v>38.1</v>
      </c>
    </row>
    <row r="1051" spans="2:11" x14ac:dyDescent="0.25">
      <c r="B1051" s="431" t="s">
        <v>190</v>
      </c>
      <c r="C1051" s="371" t="s">
        <v>1368</v>
      </c>
      <c r="D1051" s="431" t="s">
        <v>214</v>
      </c>
      <c r="E1051" s="431" t="s">
        <v>1369</v>
      </c>
      <c r="F1051" s="500" t="s">
        <v>199</v>
      </c>
      <c r="G1051" s="500"/>
      <c r="H1051" s="372" t="s">
        <v>22</v>
      </c>
      <c r="I1051" s="373">
        <v>1</v>
      </c>
      <c r="J1051" s="374">
        <v>1049.9000000000001</v>
      </c>
      <c r="K1051" s="374">
        <v>1049.9000000000001</v>
      </c>
    </row>
    <row r="1052" spans="2:11" ht="15" x14ac:dyDescent="0.25">
      <c r="B1052" s="432"/>
      <c r="C1052" s="432"/>
      <c r="D1052" s="432"/>
      <c r="E1052" s="432"/>
      <c r="F1052" s="432"/>
      <c r="G1052" s="375"/>
      <c r="H1052" s="432"/>
      <c r="I1052" s="375"/>
      <c r="J1052" s="375"/>
      <c r="K1052"/>
    </row>
    <row r="1053" spans="2:11" ht="15.75" thickBot="1" x14ac:dyDescent="0.3">
      <c r="B1053" s="432"/>
      <c r="C1053" s="432"/>
      <c r="D1053" s="432"/>
      <c r="E1053" s="432"/>
      <c r="F1053" s="432"/>
      <c r="G1053" s="375"/>
      <c r="H1053" s="432"/>
      <c r="I1053" s="432"/>
      <c r="J1053" s="375"/>
      <c r="K1053"/>
    </row>
    <row r="1054" spans="2:11" ht="13.5" thickTop="1" x14ac:dyDescent="0.25">
      <c r="B1054" s="376"/>
      <c r="C1054" s="376"/>
      <c r="D1054" s="376"/>
      <c r="E1054" s="376"/>
      <c r="F1054" s="376"/>
      <c r="G1054" s="376"/>
      <c r="H1054" s="376"/>
      <c r="I1054" s="376"/>
      <c r="J1054" s="376"/>
      <c r="K1054" s="376"/>
    </row>
    <row r="1055" spans="2:11" ht="15" x14ac:dyDescent="0.25">
      <c r="B1055" s="433" t="s">
        <v>1630</v>
      </c>
      <c r="C1055" s="361" t="s">
        <v>0</v>
      </c>
      <c r="D1055" s="433" t="s">
        <v>185</v>
      </c>
      <c r="E1055" s="433" t="s">
        <v>83</v>
      </c>
      <c r="F1055" s="498" t="s">
        <v>1</v>
      </c>
      <c r="G1055" s="498"/>
      <c r="H1055" s="362" t="s">
        <v>3</v>
      </c>
      <c r="I1055" s="361" t="s">
        <v>186</v>
      </c>
      <c r="J1055" s="361" t="s">
        <v>187</v>
      </c>
      <c r="K1055" s="361" t="s">
        <v>4</v>
      </c>
    </row>
    <row r="1056" spans="2:11" ht="25.5" x14ac:dyDescent="0.25">
      <c r="B1056" s="434" t="s">
        <v>7</v>
      </c>
      <c r="C1056" s="363" t="s">
        <v>1041</v>
      </c>
      <c r="D1056" s="434" t="s">
        <v>125</v>
      </c>
      <c r="E1056" s="434" t="s">
        <v>1042</v>
      </c>
      <c r="F1056" s="499" t="s">
        <v>217</v>
      </c>
      <c r="G1056" s="499"/>
      <c r="H1056" s="364" t="s">
        <v>22</v>
      </c>
      <c r="I1056" s="365">
        <v>1</v>
      </c>
      <c r="J1056" s="366">
        <v>114.33</v>
      </c>
      <c r="K1056" s="366">
        <v>114.33</v>
      </c>
    </row>
    <row r="1057" spans="2:11" ht="38.25" x14ac:dyDescent="0.25">
      <c r="B1057" s="430" t="s">
        <v>189</v>
      </c>
      <c r="C1057" s="367" t="s">
        <v>220</v>
      </c>
      <c r="D1057" s="430" t="s">
        <v>31</v>
      </c>
      <c r="E1057" s="430" t="s">
        <v>221</v>
      </c>
      <c r="F1057" s="497" t="s">
        <v>188</v>
      </c>
      <c r="G1057" s="497"/>
      <c r="H1057" s="368" t="s">
        <v>32</v>
      </c>
      <c r="I1057" s="369">
        <v>0.1</v>
      </c>
      <c r="J1057" s="370">
        <v>22.58</v>
      </c>
      <c r="K1057" s="370">
        <v>2.25</v>
      </c>
    </row>
    <row r="1058" spans="2:11" ht="38.25" x14ac:dyDescent="0.25">
      <c r="B1058" s="430" t="s">
        <v>189</v>
      </c>
      <c r="C1058" s="367" t="s">
        <v>218</v>
      </c>
      <c r="D1058" s="430" t="s">
        <v>31</v>
      </c>
      <c r="E1058" s="430" t="s">
        <v>219</v>
      </c>
      <c r="F1058" s="497" t="s">
        <v>188</v>
      </c>
      <c r="G1058" s="497"/>
      <c r="H1058" s="368" t="s">
        <v>32</v>
      </c>
      <c r="I1058" s="369">
        <v>0.1</v>
      </c>
      <c r="J1058" s="370">
        <v>18.48</v>
      </c>
      <c r="K1058" s="370">
        <v>1.84</v>
      </c>
    </row>
    <row r="1059" spans="2:11" x14ac:dyDescent="0.25">
      <c r="B1059" s="431" t="s">
        <v>190</v>
      </c>
      <c r="C1059" s="371" t="s">
        <v>1236</v>
      </c>
      <c r="D1059" s="431" t="s">
        <v>125</v>
      </c>
      <c r="E1059" s="431" t="s">
        <v>1237</v>
      </c>
      <c r="F1059" s="500" t="s">
        <v>199</v>
      </c>
      <c r="G1059" s="500"/>
      <c r="H1059" s="372" t="s">
        <v>22</v>
      </c>
      <c r="I1059" s="373">
        <v>1</v>
      </c>
      <c r="J1059" s="374">
        <v>110.24</v>
      </c>
      <c r="K1059" s="374">
        <v>110.24</v>
      </c>
    </row>
    <row r="1060" spans="2:11" ht="15" x14ac:dyDescent="0.25">
      <c r="B1060" s="432"/>
      <c r="C1060" s="432"/>
      <c r="D1060" s="432"/>
      <c r="E1060" s="432"/>
      <c r="F1060" s="432"/>
      <c r="G1060" s="375"/>
      <c r="H1060" s="432"/>
      <c r="I1060" s="375"/>
      <c r="J1060" s="375"/>
      <c r="K1060"/>
    </row>
    <row r="1061" spans="2:11" ht="15.75" thickBot="1" x14ac:dyDescent="0.3">
      <c r="B1061" s="432"/>
      <c r="C1061" s="432"/>
      <c r="D1061" s="432"/>
      <c r="E1061" s="432"/>
      <c r="F1061" s="432"/>
      <c r="G1061" s="375"/>
      <c r="H1061" s="432"/>
      <c r="I1061" s="432"/>
      <c r="J1061" s="375"/>
      <c r="K1061"/>
    </row>
    <row r="1062" spans="2:11" ht="13.5" thickTop="1" x14ac:dyDescent="0.25">
      <c r="B1062" s="376"/>
      <c r="C1062" s="376"/>
      <c r="D1062" s="376"/>
      <c r="E1062" s="376"/>
      <c r="F1062" s="376"/>
      <c r="G1062" s="376"/>
      <c r="H1062" s="376"/>
      <c r="I1062" s="376"/>
      <c r="J1062" s="376"/>
      <c r="K1062" s="376"/>
    </row>
    <row r="1063" spans="2:11" ht="15" x14ac:dyDescent="0.25">
      <c r="B1063" s="433" t="s">
        <v>1631</v>
      </c>
      <c r="C1063" s="361" t="s">
        <v>0</v>
      </c>
      <c r="D1063" s="433" t="s">
        <v>185</v>
      </c>
      <c r="E1063" s="433" t="s">
        <v>83</v>
      </c>
      <c r="F1063" s="498" t="s">
        <v>1</v>
      </c>
      <c r="G1063" s="498"/>
      <c r="H1063" s="362" t="s">
        <v>3</v>
      </c>
      <c r="I1063" s="361" t="s">
        <v>186</v>
      </c>
      <c r="J1063" s="361" t="s">
        <v>187</v>
      </c>
      <c r="K1063" s="361" t="s">
        <v>4</v>
      </c>
    </row>
    <row r="1064" spans="2:11" ht="25.5" x14ac:dyDescent="0.25">
      <c r="B1064" s="434" t="s">
        <v>7</v>
      </c>
      <c r="C1064" s="363" t="s">
        <v>1043</v>
      </c>
      <c r="D1064" s="434" t="s">
        <v>905</v>
      </c>
      <c r="E1064" s="434" t="s">
        <v>1044</v>
      </c>
      <c r="F1064" s="499">
        <v>7</v>
      </c>
      <c r="G1064" s="499"/>
      <c r="H1064" s="364" t="s">
        <v>847</v>
      </c>
      <c r="I1064" s="365">
        <v>1</v>
      </c>
      <c r="J1064" s="366">
        <v>26.12</v>
      </c>
      <c r="K1064" s="366">
        <v>26.12</v>
      </c>
    </row>
    <row r="1065" spans="2:11" ht="25.5" x14ac:dyDescent="0.25">
      <c r="B1065" s="431" t="s">
        <v>190</v>
      </c>
      <c r="C1065" s="371" t="s">
        <v>1238</v>
      </c>
      <c r="D1065" s="431" t="s">
        <v>905</v>
      </c>
      <c r="E1065" s="431" t="s">
        <v>1239</v>
      </c>
      <c r="F1065" s="500" t="s">
        <v>199</v>
      </c>
      <c r="G1065" s="500"/>
      <c r="H1065" s="372" t="s">
        <v>227</v>
      </c>
      <c r="I1065" s="373">
        <v>1</v>
      </c>
      <c r="J1065" s="374">
        <v>22.12</v>
      </c>
      <c r="K1065" s="374">
        <v>22.12</v>
      </c>
    </row>
    <row r="1066" spans="2:11" ht="25.5" x14ac:dyDescent="0.25">
      <c r="B1066" s="431" t="s">
        <v>190</v>
      </c>
      <c r="C1066" s="371" t="s">
        <v>1134</v>
      </c>
      <c r="D1066" s="431" t="s">
        <v>905</v>
      </c>
      <c r="E1066" s="431" t="s">
        <v>1135</v>
      </c>
      <c r="F1066" s="500" t="s">
        <v>191</v>
      </c>
      <c r="G1066" s="500"/>
      <c r="H1066" s="372" t="s">
        <v>1126</v>
      </c>
      <c r="I1066" s="373">
        <v>0.13</v>
      </c>
      <c r="J1066" s="374">
        <v>12.31</v>
      </c>
      <c r="K1066" s="374">
        <v>1.6</v>
      </c>
    </row>
    <row r="1067" spans="2:11" ht="25.5" x14ac:dyDescent="0.25">
      <c r="B1067" s="431" t="s">
        <v>190</v>
      </c>
      <c r="C1067" s="371" t="s">
        <v>1136</v>
      </c>
      <c r="D1067" s="431" t="s">
        <v>905</v>
      </c>
      <c r="E1067" s="431" t="s">
        <v>225</v>
      </c>
      <c r="F1067" s="500" t="s">
        <v>191</v>
      </c>
      <c r="G1067" s="500"/>
      <c r="H1067" s="372" t="s">
        <v>1126</v>
      </c>
      <c r="I1067" s="373">
        <v>0.13</v>
      </c>
      <c r="J1067" s="374">
        <v>18.510000000000002</v>
      </c>
      <c r="K1067" s="374">
        <v>2.4</v>
      </c>
    </row>
    <row r="1068" spans="2:11" ht="15" x14ac:dyDescent="0.25">
      <c r="B1068" s="432"/>
      <c r="C1068" s="432"/>
      <c r="D1068" s="432"/>
      <c r="E1068" s="432"/>
      <c r="F1068" s="432"/>
      <c r="G1068" s="375"/>
      <c r="H1068" s="432"/>
      <c r="I1068" s="375"/>
      <c r="J1068" s="375"/>
      <c r="K1068"/>
    </row>
    <row r="1069" spans="2:11" ht="15.75" thickBot="1" x14ac:dyDescent="0.3">
      <c r="B1069" s="432"/>
      <c r="C1069" s="432"/>
      <c r="D1069" s="432"/>
      <c r="E1069" s="432"/>
      <c r="F1069" s="432"/>
      <c r="G1069" s="375"/>
      <c r="H1069" s="432"/>
      <c r="I1069" s="432"/>
      <c r="J1069" s="375"/>
      <c r="K1069"/>
    </row>
    <row r="1070" spans="2:11" ht="13.5" thickTop="1" x14ac:dyDescent="0.25">
      <c r="B1070" s="376"/>
      <c r="C1070" s="376"/>
      <c r="D1070" s="376"/>
      <c r="E1070" s="376"/>
      <c r="F1070" s="376"/>
      <c r="G1070" s="376"/>
      <c r="H1070" s="376"/>
      <c r="I1070" s="376"/>
      <c r="J1070" s="376"/>
      <c r="K1070" s="376"/>
    </row>
    <row r="1071" spans="2:11" ht="15" x14ac:dyDescent="0.25">
      <c r="B1071" s="433" t="s">
        <v>1632</v>
      </c>
      <c r="C1071" s="361" t="s">
        <v>0</v>
      </c>
      <c r="D1071" s="433" t="s">
        <v>185</v>
      </c>
      <c r="E1071" s="433" t="s">
        <v>83</v>
      </c>
      <c r="F1071" s="498" t="s">
        <v>1</v>
      </c>
      <c r="G1071" s="498"/>
      <c r="H1071" s="362" t="s">
        <v>3</v>
      </c>
      <c r="I1071" s="361" t="s">
        <v>186</v>
      </c>
      <c r="J1071" s="361" t="s">
        <v>187</v>
      </c>
      <c r="K1071" s="361" t="s">
        <v>4</v>
      </c>
    </row>
    <row r="1072" spans="2:11" ht="38.25" x14ac:dyDescent="0.25">
      <c r="B1072" s="434" t="s">
        <v>7</v>
      </c>
      <c r="C1072" s="363" t="s">
        <v>1045</v>
      </c>
      <c r="D1072" s="434" t="s">
        <v>267</v>
      </c>
      <c r="E1072" s="434" t="s">
        <v>1046</v>
      </c>
      <c r="F1072" s="499">
        <v>69.03</v>
      </c>
      <c r="G1072" s="499"/>
      <c r="H1072" s="364" t="s">
        <v>22</v>
      </c>
      <c r="I1072" s="365">
        <v>1</v>
      </c>
      <c r="J1072" s="366">
        <v>43.18</v>
      </c>
      <c r="K1072" s="366">
        <v>43.18</v>
      </c>
    </row>
    <row r="1073" spans="2:11" ht="38.25" x14ac:dyDescent="0.25">
      <c r="B1073" s="431" t="s">
        <v>190</v>
      </c>
      <c r="C1073" s="371" t="s">
        <v>1160</v>
      </c>
      <c r="D1073" s="431" t="s">
        <v>267</v>
      </c>
      <c r="E1073" s="431" t="s">
        <v>1161</v>
      </c>
      <c r="F1073" s="500" t="s">
        <v>191</v>
      </c>
      <c r="G1073" s="500"/>
      <c r="H1073" s="372" t="s">
        <v>32</v>
      </c>
      <c r="I1073" s="373">
        <v>0.15</v>
      </c>
      <c r="J1073" s="374">
        <v>25.22</v>
      </c>
      <c r="K1073" s="374">
        <v>3.78</v>
      </c>
    </row>
    <row r="1074" spans="2:11" ht="38.25" x14ac:dyDescent="0.25">
      <c r="B1074" s="431" t="s">
        <v>190</v>
      </c>
      <c r="C1074" s="371" t="s">
        <v>1162</v>
      </c>
      <c r="D1074" s="431" t="s">
        <v>267</v>
      </c>
      <c r="E1074" s="431" t="s">
        <v>1163</v>
      </c>
      <c r="F1074" s="500" t="s">
        <v>191</v>
      </c>
      <c r="G1074" s="500"/>
      <c r="H1074" s="372" t="s">
        <v>32</v>
      </c>
      <c r="I1074" s="373">
        <v>0.15</v>
      </c>
      <c r="J1074" s="374">
        <v>16.739999999999998</v>
      </c>
      <c r="K1074" s="374">
        <v>2.5099999999999998</v>
      </c>
    </row>
    <row r="1075" spans="2:11" ht="38.25" x14ac:dyDescent="0.25">
      <c r="B1075" s="431" t="s">
        <v>190</v>
      </c>
      <c r="C1075" s="371" t="s">
        <v>1240</v>
      </c>
      <c r="D1075" s="431" t="s">
        <v>267</v>
      </c>
      <c r="E1075" s="431" t="s">
        <v>1241</v>
      </c>
      <c r="F1075" s="500" t="s">
        <v>199</v>
      </c>
      <c r="G1075" s="500"/>
      <c r="H1075" s="372" t="s">
        <v>22</v>
      </c>
      <c r="I1075" s="373">
        <v>1</v>
      </c>
      <c r="J1075" s="374">
        <v>36.89</v>
      </c>
      <c r="K1075" s="374">
        <v>36.89</v>
      </c>
    </row>
    <row r="1076" spans="2:11" ht="15" x14ac:dyDescent="0.25">
      <c r="B1076" s="432"/>
      <c r="C1076" s="432"/>
      <c r="D1076" s="432"/>
      <c r="E1076" s="432"/>
      <c r="F1076" s="432"/>
      <c r="G1076" s="375"/>
      <c r="H1076" s="432"/>
      <c r="I1076" s="375"/>
      <c r="J1076" s="375"/>
      <c r="K1076"/>
    </row>
    <row r="1077" spans="2:11" ht="15.75" thickBot="1" x14ac:dyDescent="0.3">
      <c r="B1077" s="432"/>
      <c r="C1077" s="432"/>
      <c r="D1077" s="432"/>
      <c r="E1077" s="432"/>
      <c r="F1077" s="432"/>
      <c r="G1077" s="375"/>
      <c r="H1077" s="432"/>
      <c r="I1077" s="432"/>
      <c r="J1077" s="375"/>
      <c r="K1077"/>
    </row>
    <row r="1078" spans="2:11" ht="13.5" thickTop="1" x14ac:dyDescent="0.25">
      <c r="B1078" s="376"/>
      <c r="C1078" s="376"/>
      <c r="D1078" s="376"/>
      <c r="E1078" s="376"/>
      <c r="F1078" s="376"/>
      <c r="G1078" s="376"/>
      <c r="H1078" s="376"/>
      <c r="I1078" s="376"/>
      <c r="J1078" s="376"/>
      <c r="K1078" s="376"/>
    </row>
    <row r="1079" spans="2:11" ht="15" x14ac:dyDescent="0.25">
      <c r="B1079" s="433" t="s">
        <v>1633</v>
      </c>
      <c r="C1079" s="361" t="s">
        <v>0</v>
      </c>
      <c r="D1079" s="433" t="s">
        <v>185</v>
      </c>
      <c r="E1079" s="433" t="s">
        <v>83</v>
      </c>
      <c r="F1079" s="498" t="s">
        <v>1</v>
      </c>
      <c r="G1079" s="498"/>
      <c r="H1079" s="362" t="s">
        <v>3</v>
      </c>
      <c r="I1079" s="361" t="s">
        <v>186</v>
      </c>
      <c r="J1079" s="361" t="s">
        <v>187</v>
      </c>
      <c r="K1079" s="361" t="s">
        <v>4</v>
      </c>
    </row>
    <row r="1080" spans="2:11" ht="63.75" x14ac:dyDescent="0.25">
      <c r="B1080" s="434" t="s">
        <v>7</v>
      </c>
      <c r="C1080" s="363" t="s">
        <v>1251</v>
      </c>
      <c r="D1080" s="434" t="s">
        <v>125</v>
      </c>
      <c r="E1080" s="434" t="s">
        <v>1252</v>
      </c>
      <c r="F1080" s="499" t="s">
        <v>1318</v>
      </c>
      <c r="G1080" s="499"/>
      <c r="H1080" s="364" t="s">
        <v>22</v>
      </c>
      <c r="I1080" s="365">
        <v>1</v>
      </c>
      <c r="J1080" s="366">
        <v>10.1</v>
      </c>
      <c r="K1080" s="366">
        <v>10.1</v>
      </c>
    </row>
    <row r="1081" spans="2:11" ht="38.25" x14ac:dyDescent="0.25">
      <c r="B1081" s="430" t="s">
        <v>189</v>
      </c>
      <c r="C1081" s="367" t="s">
        <v>220</v>
      </c>
      <c r="D1081" s="430" t="s">
        <v>31</v>
      </c>
      <c r="E1081" s="430" t="s">
        <v>221</v>
      </c>
      <c r="F1081" s="497" t="s">
        <v>188</v>
      </c>
      <c r="G1081" s="497"/>
      <c r="H1081" s="368" t="s">
        <v>32</v>
      </c>
      <c r="I1081" s="369">
        <v>0.1</v>
      </c>
      <c r="J1081" s="370">
        <v>22.58</v>
      </c>
      <c r="K1081" s="370">
        <v>2.25</v>
      </c>
    </row>
    <row r="1082" spans="2:11" ht="38.25" x14ac:dyDescent="0.25">
      <c r="B1082" s="430" t="s">
        <v>189</v>
      </c>
      <c r="C1082" s="367" t="s">
        <v>218</v>
      </c>
      <c r="D1082" s="430" t="s">
        <v>31</v>
      </c>
      <c r="E1082" s="430" t="s">
        <v>219</v>
      </c>
      <c r="F1082" s="497" t="s">
        <v>188</v>
      </c>
      <c r="G1082" s="497"/>
      <c r="H1082" s="368" t="s">
        <v>32</v>
      </c>
      <c r="I1082" s="369">
        <v>0.1</v>
      </c>
      <c r="J1082" s="370">
        <v>18.48</v>
      </c>
      <c r="K1082" s="370">
        <v>1.84</v>
      </c>
    </row>
    <row r="1083" spans="2:11" ht="25.5" x14ac:dyDescent="0.25">
      <c r="B1083" s="431" t="s">
        <v>190</v>
      </c>
      <c r="C1083" s="371" t="s">
        <v>1319</v>
      </c>
      <c r="D1083" s="431" t="s">
        <v>875</v>
      </c>
      <c r="E1083" s="431" t="s">
        <v>1320</v>
      </c>
      <c r="F1083" s="500" t="s">
        <v>199</v>
      </c>
      <c r="G1083" s="500"/>
      <c r="H1083" s="372" t="s">
        <v>227</v>
      </c>
      <c r="I1083" s="373">
        <v>1</v>
      </c>
      <c r="J1083" s="374">
        <v>6.01</v>
      </c>
      <c r="K1083" s="374">
        <v>6.01</v>
      </c>
    </row>
    <row r="1084" spans="2:11" x14ac:dyDescent="0.25">
      <c r="B1084" s="431" t="s">
        <v>190</v>
      </c>
      <c r="C1084" s="371" t="s">
        <v>1321</v>
      </c>
      <c r="D1084" s="431" t="s">
        <v>125</v>
      </c>
      <c r="E1084" s="431" t="s">
        <v>1322</v>
      </c>
      <c r="F1084" s="500" t="s">
        <v>199</v>
      </c>
      <c r="G1084" s="500"/>
      <c r="H1084" s="372" t="s">
        <v>22</v>
      </c>
      <c r="I1084" s="373">
        <v>0</v>
      </c>
      <c r="J1084" s="374">
        <v>1</v>
      </c>
      <c r="K1084" s="374">
        <v>0</v>
      </c>
    </row>
    <row r="1085" spans="2:11" ht="15" x14ac:dyDescent="0.25">
      <c r="B1085" s="432"/>
      <c r="C1085" s="432"/>
      <c r="D1085" s="432"/>
      <c r="E1085" s="432"/>
      <c r="F1085" s="432"/>
      <c r="G1085" s="375"/>
      <c r="H1085" s="432"/>
      <c r="I1085" s="375"/>
      <c r="J1085" s="375"/>
      <c r="K1085"/>
    </row>
    <row r="1086" spans="2:11" ht="15.75" thickBot="1" x14ac:dyDescent="0.3">
      <c r="B1086" s="432"/>
      <c r="C1086" s="432"/>
      <c r="D1086" s="432"/>
      <c r="E1086" s="432"/>
      <c r="F1086" s="432"/>
      <c r="G1086" s="375"/>
      <c r="H1086" s="432"/>
      <c r="I1086" s="432"/>
      <c r="J1086" s="375"/>
      <c r="K1086"/>
    </row>
    <row r="1087" spans="2:11" ht="13.5" thickTop="1" x14ac:dyDescent="0.25">
      <c r="B1087" s="376"/>
      <c r="C1087" s="376"/>
      <c r="D1087" s="376"/>
      <c r="E1087" s="376"/>
      <c r="F1087" s="376"/>
      <c r="G1087" s="376"/>
      <c r="H1087" s="376"/>
      <c r="I1087" s="376"/>
      <c r="J1087" s="376"/>
      <c r="K1087" s="376"/>
    </row>
    <row r="1088" spans="2:11" ht="15" x14ac:dyDescent="0.25">
      <c r="B1088" s="433" t="s">
        <v>1634</v>
      </c>
      <c r="C1088" s="361" t="s">
        <v>0</v>
      </c>
      <c r="D1088" s="433" t="s">
        <v>185</v>
      </c>
      <c r="E1088" s="433" t="s">
        <v>83</v>
      </c>
      <c r="F1088" s="498" t="s">
        <v>1</v>
      </c>
      <c r="G1088" s="498"/>
      <c r="H1088" s="362" t="s">
        <v>3</v>
      </c>
      <c r="I1088" s="361" t="s">
        <v>186</v>
      </c>
      <c r="J1088" s="361" t="s">
        <v>187</v>
      </c>
      <c r="K1088" s="361" t="s">
        <v>4</v>
      </c>
    </row>
    <row r="1089" spans="2:11" ht="51" x14ac:dyDescent="0.25">
      <c r="B1089" s="434" t="s">
        <v>7</v>
      </c>
      <c r="C1089" s="363" t="s">
        <v>1282</v>
      </c>
      <c r="D1089" s="434" t="s">
        <v>125</v>
      </c>
      <c r="E1089" s="434" t="s">
        <v>1283</v>
      </c>
      <c r="F1089" s="499" t="s">
        <v>1182</v>
      </c>
      <c r="G1089" s="499"/>
      <c r="H1089" s="364" t="s">
        <v>22</v>
      </c>
      <c r="I1089" s="365">
        <v>1</v>
      </c>
      <c r="J1089" s="366">
        <v>1014.1</v>
      </c>
      <c r="K1089" s="366">
        <v>1014.1</v>
      </c>
    </row>
    <row r="1090" spans="2:11" ht="38.25" x14ac:dyDescent="0.25">
      <c r="B1090" s="430" t="s">
        <v>189</v>
      </c>
      <c r="C1090" s="367" t="s">
        <v>220</v>
      </c>
      <c r="D1090" s="430" t="s">
        <v>31</v>
      </c>
      <c r="E1090" s="430" t="s">
        <v>221</v>
      </c>
      <c r="F1090" s="497" t="s">
        <v>188</v>
      </c>
      <c r="G1090" s="497"/>
      <c r="H1090" s="368" t="s">
        <v>32</v>
      </c>
      <c r="I1090" s="369">
        <v>1</v>
      </c>
      <c r="J1090" s="370">
        <v>22.58</v>
      </c>
      <c r="K1090" s="370">
        <v>22.58</v>
      </c>
    </row>
    <row r="1091" spans="2:11" ht="25.5" x14ac:dyDescent="0.25">
      <c r="B1091" s="431" t="s">
        <v>190</v>
      </c>
      <c r="C1091" s="371" t="s">
        <v>1334</v>
      </c>
      <c r="D1091" s="431" t="s">
        <v>1335</v>
      </c>
      <c r="E1091" s="431" t="s">
        <v>1336</v>
      </c>
      <c r="F1091" s="500" t="s">
        <v>199</v>
      </c>
      <c r="G1091" s="500"/>
      <c r="H1091" s="372" t="s">
        <v>22</v>
      </c>
      <c r="I1091" s="373">
        <v>2.14</v>
      </c>
      <c r="J1091" s="374">
        <v>463.33</v>
      </c>
      <c r="K1091" s="374">
        <v>991.52</v>
      </c>
    </row>
    <row r="1092" spans="2:11" ht="15" x14ac:dyDescent="0.25">
      <c r="B1092" s="435"/>
      <c r="C1092" s="436"/>
      <c r="D1092" s="435"/>
      <c r="E1092" s="435"/>
      <c r="F1092" s="432"/>
      <c r="G1092" s="375"/>
      <c r="H1092" s="432"/>
      <c r="I1092" s="375"/>
      <c r="J1092" s="375"/>
      <c r="K1092"/>
    </row>
    <row r="1093" spans="2:11" ht="27.95" customHeight="1" thickBot="1" x14ac:dyDescent="0.3">
      <c r="B1093" s="435"/>
      <c r="C1093" s="436"/>
      <c r="D1093" s="435"/>
      <c r="E1093" s="435"/>
      <c r="F1093" s="432"/>
      <c r="G1093" s="375"/>
      <c r="H1093" s="432"/>
      <c r="I1093" s="432"/>
      <c r="J1093" s="375"/>
      <c r="K1093"/>
    </row>
    <row r="1094" spans="2:11" s="304" customFormat="1" ht="13.5" thickTop="1" x14ac:dyDescent="0.25">
      <c r="B1094" s="376"/>
      <c r="C1094" s="376"/>
      <c r="D1094" s="376"/>
      <c r="E1094" s="376"/>
      <c r="F1094" s="376"/>
      <c r="G1094" s="376"/>
      <c r="H1094" s="376"/>
      <c r="I1094" s="376"/>
      <c r="J1094" s="376"/>
      <c r="K1094" s="376"/>
    </row>
    <row r="1095" spans="2:11" s="304" customFormat="1" ht="15" x14ac:dyDescent="0.25">
      <c r="B1095" s="433" t="s">
        <v>1040</v>
      </c>
      <c r="C1095" s="361" t="s">
        <v>0</v>
      </c>
      <c r="D1095" s="433" t="s">
        <v>185</v>
      </c>
      <c r="E1095" s="433" t="s">
        <v>83</v>
      </c>
      <c r="F1095" s="498" t="s">
        <v>1</v>
      </c>
      <c r="G1095" s="498"/>
      <c r="H1095" s="362" t="s">
        <v>3</v>
      </c>
      <c r="I1095" s="361" t="s">
        <v>186</v>
      </c>
      <c r="J1095" s="361" t="s">
        <v>187</v>
      </c>
      <c r="K1095" s="361" t="s">
        <v>4</v>
      </c>
    </row>
    <row r="1096" spans="2:11" s="304" customFormat="1" ht="25.5" x14ac:dyDescent="0.25">
      <c r="B1096" s="434" t="s">
        <v>7</v>
      </c>
      <c r="C1096" s="363" t="s">
        <v>1049</v>
      </c>
      <c r="D1096" s="434" t="s">
        <v>214</v>
      </c>
      <c r="E1096" s="434" t="s">
        <v>1050</v>
      </c>
      <c r="F1096" s="499" t="s">
        <v>1311</v>
      </c>
      <c r="G1096" s="499"/>
      <c r="H1096" s="364" t="s">
        <v>22</v>
      </c>
      <c r="I1096" s="365">
        <v>1</v>
      </c>
      <c r="J1096" s="366">
        <v>1633.17</v>
      </c>
      <c r="K1096" s="366">
        <v>1633.17</v>
      </c>
    </row>
    <row r="1097" spans="2:11" s="304" customFormat="1" ht="38.25" x14ac:dyDescent="0.25">
      <c r="B1097" s="430" t="s">
        <v>189</v>
      </c>
      <c r="C1097" s="367" t="s">
        <v>271</v>
      </c>
      <c r="D1097" s="430" t="s">
        <v>31</v>
      </c>
      <c r="E1097" s="430" t="s">
        <v>272</v>
      </c>
      <c r="F1097" s="497" t="s">
        <v>188</v>
      </c>
      <c r="G1097" s="497"/>
      <c r="H1097" s="368" t="s">
        <v>32</v>
      </c>
      <c r="I1097" s="369">
        <v>1.169</v>
      </c>
      <c r="J1097" s="370">
        <v>29.08</v>
      </c>
      <c r="K1097" s="370">
        <v>33.99</v>
      </c>
    </row>
    <row r="1098" spans="2:11" s="304" customFormat="1" ht="38.25" x14ac:dyDescent="0.25">
      <c r="B1098" s="430" t="s">
        <v>189</v>
      </c>
      <c r="C1098" s="367" t="s">
        <v>222</v>
      </c>
      <c r="D1098" s="430" t="s">
        <v>31</v>
      </c>
      <c r="E1098" s="430" t="s">
        <v>223</v>
      </c>
      <c r="F1098" s="497" t="s">
        <v>188</v>
      </c>
      <c r="G1098" s="497"/>
      <c r="H1098" s="368" t="s">
        <v>32</v>
      </c>
      <c r="I1098" s="369">
        <v>1.169</v>
      </c>
      <c r="J1098" s="370">
        <v>18.12</v>
      </c>
      <c r="K1098" s="370">
        <v>21.18</v>
      </c>
    </row>
    <row r="1099" spans="2:11" s="304" customFormat="1" x14ac:dyDescent="0.25">
      <c r="B1099" s="431" t="s">
        <v>190</v>
      </c>
      <c r="C1099" s="371" t="s">
        <v>1673</v>
      </c>
      <c r="D1099" s="431" t="s">
        <v>214</v>
      </c>
      <c r="E1099" s="431" t="s">
        <v>1050</v>
      </c>
      <c r="F1099" s="500" t="s">
        <v>199</v>
      </c>
      <c r="G1099" s="500"/>
      <c r="H1099" s="372" t="s">
        <v>22</v>
      </c>
      <c r="I1099" s="373">
        <v>1</v>
      </c>
      <c r="J1099" s="374">
        <v>1578</v>
      </c>
      <c r="K1099" s="374">
        <v>1578</v>
      </c>
    </row>
    <row r="1100" spans="2:11" s="304" customFormat="1" ht="15" x14ac:dyDescent="0.25">
      <c r="B1100" s="432"/>
      <c r="C1100" s="432"/>
      <c r="D1100" s="432"/>
      <c r="E1100" s="432"/>
      <c r="F1100" s="432"/>
      <c r="G1100" s="375"/>
      <c r="H1100" s="432"/>
      <c r="I1100" s="375"/>
      <c r="J1100" s="375"/>
      <c r="K1100"/>
    </row>
    <row r="1101" spans="2:11" s="304" customFormat="1" ht="15.75" thickBot="1" x14ac:dyDescent="0.3">
      <c r="B1101" s="432"/>
      <c r="C1101" s="432"/>
      <c r="D1101" s="432"/>
      <c r="E1101" s="432"/>
      <c r="F1101" s="432"/>
      <c r="G1101" s="375"/>
      <c r="H1101" s="432"/>
      <c r="I1101" s="432"/>
      <c r="J1101" s="375"/>
      <c r="K1101"/>
    </row>
    <row r="1102" spans="2:11" ht="14.1" customHeight="1" thickTop="1" x14ac:dyDescent="0.25">
      <c r="B1102" s="376"/>
      <c r="C1102" s="376"/>
      <c r="D1102" s="376"/>
      <c r="E1102" s="376"/>
      <c r="F1102" s="376"/>
      <c r="G1102" s="376"/>
      <c r="H1102" s="376"/>
      <c r="I1102" s="376"/>
      <c r="J1102" s="376"/>
      <c r="K1102" s="376"/>
    </row>
    <row r="1103" spans="2:11" ht="15" x14ac:dyDescent="0.25">
      <c r="B1103" s="433" t="s">
        <v>1659</v>
      </c>
      <c r="C1103" s="361" t="s">
        <v>0</v>
      </c>
      <c r="D1103" s="433" t="s">
        <v>185</v>
      </c>
      <c r="E1103" s="433" t="s">
        <v>83</v>
      </c>
      <c r="F1103" s="498" t="s">
        <v>1</v>
      </c>
      <c r="G1103" s="498"/>
      <c r="H1103" s="362" t="s">
        <v>3</v>
      </c>
      <c r="I1103" s="361" t="s">
        <v>186</v>
      </c>
      <c r="J1103" s="361" t="s">
        <v>187</v>
      </c>
      <c r="K1103" s="361" t="s">
        <v>4</v>
      </c>
    </row>
    <row r="1104" spans="2:11" ht="25.5" x14ac:dyDescent="0.25">
      <c r="B1104" s="434" t="s">
        <v>7</v>
      </c>
      <c r="C1104" s="363" t="s">
        <v>777</v>
      </c>
      <c r="D1104" s="434" t="s">
        <v>214</v>
      </c>
      <c r="E1104" s="434" t="s">
        <v>778</v>
      </c>
      <c r="F1104" s="499" t="s">
        <v>1311</v>
      </c>
      <c r="G1104" s="499"/>
      <c r="H1104" s="364" t="s">
        <v>22</v>
      </c>
      <c r="I1104" s="365">
        <v>1</v>
      </c>
      <c r="J1104" s="366">
        <v>668.91</v>
      </c>
      <c r="K1104" s="366">
        <v>668.91</v>
      </c>
    </row>
    <row r="1105" spans="2:11" ht="38.25" x14ac:dyDescent="0.25">
      <c r="B1105" s="430" t="s">
        <v>189</v>
      </c>
      <c r="C1105" s="367" t="s">
        <v>271</v>
      </c>
      <c r="D1105" s="430" t="s">
        <v>31</v>
      </c>
      <c r="E1105" s="430" t="s">
        <v>272</v>
      </c>
      <c r="F1105" s="497" t="s">
        <v>188</v>
      </c>
      <c r="G1105" s="497"/>
      <c r="H1105" s="368" t="s">
        <v>32</v>
      </c>
      <c r="I1105" s="369">
        <v>2.1</v>
      </c>
      <c r="J1105" s="370">
        <v>29.08</v>
      </c>
      <c r="K1105" s="370">
        <v>61.06</v>
      </c>
    </row>
    <row r="1106" spans="2:11" ht="38.25" x14ac:dyDescent="0.25">
      <c r="B1106" s="430" t="s">
        <v>189</v>
      </c>
      <c r="C1106" s="367" t="s">
        <v>222</v>
      </c>
      <c r="D1106" s="430" t="s">
        <v>31</v>
      </c>
      <c r="E1106" s="430" t="s">
        <v>223</v>
      </c>
      <c r="F1106" s="497" t="s">
        <v>188</v>
      </c>
      <c r="G1106" s="497"/>
      <c r="H1106" s="368" t="s">
        <v>32</v>
      </c>
      <c r="I1106" s="369">
        <v>2.1</v>
      </c>
      <c r="J1106" s="370">
        <v>18.12</v>
      </c>
      <c r="K1106" s="370">
        <v>38.049999999999997</v>
      </c>
    </row>
    <row r="1107" spans="2:11" ht="27.95" customHeight="1" x14ac:dyDescent="0.25">
      <c r="B1107" s="431" t="s">
        <v>190</v>
      </c>
      <c r="C1107" s="371" t="s">
        <v>854</v>
      </c>
      <c r="D1107" s="431" t="s">
        <v>214</v>
      </c>
      <c r="E1107" s="431" t="s">
        <v>855</v>
      </c>
      <c r="F1107" s="500" t="s">
        <v>199</v>
      </c>
      <c r="G1107" s="500"/>
      <c r="H1107" s="372" t="s">
        <v>22</v>
      </c>
      <c r="I1107" s="373">
        <v>1</v>
      </c>
      <c r="J1107" s="374">
        <v>569.79999999999995</v>
      </c>
      <c r="K1107" s="374">
        <v>569.79999999999995</v>
      </c>
    </row>
    <row r="1108" spans="2:11" ht="27.95" customHeight="1" x14ac:dyDescent="0.25">
      <c r="B1108" s="432"/>
      <c r="C1108" s="432"/>
      <c r="D1108" s="432"/>
      <c r="E1108" s="432"/>
      <c r="F1108" s="432"/>
      <c r="G1108" s="375"/>
      <c r="H1108" s="432"/>
      <c r="I1108" s="375"/>
      <c r="J1108" s="375"/>
      <c r="K1108"/>
    </row>
    <row r="1109" spans="2:11" ht="27.95" customHeight="1" thickBot="1" x14ac:dyDescent="0.3">
      <c r="B1109" s="432"/>
      <c r="C1109" s="432"/>
      <c r="D1109" s="432"/>
      <c r="E1109" s="432"/>
      <c r="F1109" s="432"/>
      <c r="G1109" s="375"/>
      <c r="H1109" s="432"/>
      <c r="I1109" s="432"/>
      <c r="J1109" s="375"/>
      <c r="K1109"/>
    </row>
    <row r="1110" spans="2:11" ht="14.1" customHeight="1" thickTop="1" x14ac:dyDescent="0.25">
      <c r="B1110" s="376"/>
      <c r="C1110" s="376"/>
      <c r="D1110" s="376"/>
      <c r="E1110" s="376"/>
      <c r="F1110" s="376"/>
      <c r="G1110" s="376"/>
      <c r="H1110" s="376"/>
      <c r="I1110" s="376"/>
      <c r="J1110" s="376"/>
      <c r="K1110" s="376"/>
    </row>
    <row r="1111" spans="2:11" ht="27.6" customHeight="1" x14ac:dyDescent="0.25">
      <c r="B1111" s="433" t="s">
        <v>1660</v>
      </c>
      <c r="C1111" s="361" t="s">
        <v>0</v>
      </c>
      <c r="D1111" s="433" t="s">
        <v>185</v>
      </c>
      <c r="E1111" s="433" t="s">
        <v>83</v>
      </c>
      <c r="F1111" s="498" t="s">
        <v>1</v>
      </c>
      <c r="G1111" s="498"/>
      <c r="H1111" s="362" t="s">
        <v>3</v>
      </c>
      <c r="I1111" s="361" t="s">
        <v>186</v>
      </c>
      <c r="J1111" s="361" t="s">
        <v>187</v>
      </c>
      <c r="K1111" s="361" t="s">
        <v>4</v>
      </c>
    </row>
    <row r="1112" spans="2:11" ht="25.5" x14ac:dyDescent="0.25">
      <c r="B1112" s="434" t="s">
        <v>7</v>
      </c>
      <c r="C1112" s="363" t="s">
        <v>776</v>
      </c>
      <c r="D1112" s="434" t="s">
        <v>125</v>
      </c>
      <c r="E1112" s="434" t="s">
        <v>562</v>
      </c>
      <c r="F1112" s="499" t="s">
        <v>252</v>
      </c>
      <c r="G1112" s="499"/>
      <c r="H1112" s="364" t="s">
        <v>245</v>
      </c>
      <c r="I1112" s="365">
        <v>1</v>
      </c>
      <c r="J1112" s="366">
        <v>522.19000000000005</v>
      </c>
      <c r="K1112" s="366">
        <v>522.19000000000005</v>
      </c>
    </row>
    <row r="1113" spans="2:11" ht="38.25" x14ac:dyDescent="0.25">
      <c r="B1113" s="430" t="s">
        <v>189</v>
      </c>
      <c r="C1113" s="367" t="s">
        <v>220</v>
      </c>
      <c r="D1113" s="430" t="s">
        <v>31</v>
      </c>
      <c r="E1113" s="430" t="s">
        <v>221</v>
      </c>
      <c r="F1113" s="497" t="s">
        <v>188</v>
      </c>
      <c r="G1113" s="497"/>
      <c r="H1113" s="368" t="s">
        <v>32</v>
      </c>
      <c r="I1113" s="369">
        <v>0.2</v>
      </c>
      <c r="J1113" s="370">
        <v>22.58</v>
      </c>
      <c r="K1113" s="370">
        <v>4.51</v>
      </c>
    </row>
    <row r="1114" spans="2:11" ht="38.25" x14ac:dyDescent="0.25">
      <c r="B1114" s="430" t="s">
        <v>189</v>
      </c>
      <c r="C1114" s="367" t="s">
        <v>218</v>
      </c>
      <c r="D1114" s="430" t="s">
        <v>31</v>
      </c>
      <c r="E1114" s="430" t="s">
        <v>219</v>
      </c>
      <c r="F1114" s="497" t="s">
        <v>188</v>
      </c>
      <c r="G1114" s="497"/>
      <c r="H1114" s="368" t="s">
        <v>32</v>
      </c>
      <c r="I1114" s="369">
        <v>0.2</v>
      </c>
      <c r="J1114" s="370">
        <v>18.48</v>
      </c>
      <c r="K1114" s="370">
        <v>3.69</v>
      </c>
    </row>
    <row r="1115" spans="2:11" ht="27.95" customHeight="1" x14ac:dyDescent="0.25">
      <c r="B1115" s="431" t="s">
        <v>190</v>
      </c>
      <c r="C1115" s="371" t="s">
        <v>852</v>
      </c>
      <c r="D1115" s="431" t="s">
        <v>214</v>
      </c>
      <c r="E1115" s="431" t="s">
        <v>853</v>
      </c>
      <c r="F1115" s="500" t="s">
        <v>199</v>
      </c>
      <c r="G1115" s="500"/>
      <c r="H1115" s="372" t="s">
        <v>22</v>
      </c>
      <c r="I1115" s="373">
        <v>1</v>
      </c>
      <c r="J1115" s="374">
        <v>513.99</v>
      </c>
      <c r="K1115" s="374">
        <v>513.99</v>
      </c>
    </row>
    <row r="1116" spans="2:11" ht="27.95" customHeight="1" x14ac:dyDescent="0.25">
      <c r="B1116" s="432"/>
      <c r="C1116" s="432"/>
      <c r="D1116" s="432"/>
      <c r="E1116" s="432"/>
      <c r="F1116" s="432"/>
      <c r="G1116" s="375"/>
      <c r="H1116" s="432"/>
      <c r="I1116" s="375"/>
      <c r="J1116" s="375"/>
      <c r="K1116"/>
    </row>
    <row r="1117" spans="2:11" ht="14.1" customHeight="1" thickBot="1" x14ac:dyDescent="0.3">
      <c r="B1117" s="432"/>
      <c r="C1117" s="432"/>
      <c r="D1117" s="432"/>
      <c r="E1117" s="432"/>
      <c r="F1117" s="432"/>
      <c r="G1117" s="375"/>
      <c r="H1117" s="432"/>
      <c r="I1117" s="432"/>
      <c r="J1117" s="375"/>
      <c r="K1117"/>
    </row>
    <row r="1118" spans="2:11" ht="13.5" thickTop="1" x14ac:dyDescent="0.25">
      <c r="B1118" s="376"/>
      <c r="C1118" s="376"/>
      <c r="D1118" s="376"/>
      <c r="E1118" s="376"/>
      <c r="F1118" s="376"/>
      <c r="G1118" s="376"/>
      <c r="H1118" s="376"/>
      <c r="I1118" s="376"/>
      <c r="J1118" s="376"/>
      <c r="K1118" s="376"/>
    </row>
    <row r="1119" spans="2:11" ht="28.35" customHeight="1" x14ac:dyDescent="0.25">
      <c r="B1119" s="433" t="s">
        <v>1661</v>
      </c>
      <c r="C1119" s="361" t="s">
        <v>0</v>
      </c>
      <c r="D1119" s="433" t="s">
        <v>185</v>
      </c>
      <c r="E1119" s="433" t="s">
        <v>83</v>
      </c>
      <c r="F1119" s="498" t="s">
        <v>1</v>
      </c>
      <c r="G1119" s="498"/>
      <c r="H1119" s="362" t="s">
        <v>3</v>
      </c>
      <c r="I1119" s="361" t="s">
        <v>186</v>
      </c>
      <c r="J1119" s="361" t="s">
        <v>187</v>
      </c>
      <c r="K1119" s="361" t="s">
        <v>4</v>
      </c>
    </row>
    <row r="1120" spans="2:11" ht="25.5" x14ac:dyDescent="0.25">
      <c r="B1120" s="434" t="s">
        <v>7</v>
      </c>
      <c r="C1120" s="363" t="s">
        <v>779</v>
      </c>
      <c r="D1120" s="434" t="s">
        <v>214</v>
      </c>
      <c r="E1120" s="434" t="s">
        <v>780</v>
      </c>
      <c r="F1120" s="499" t="s">
        <v>1311</v>
      </c>
      <c r="G1120" s="499"/>
      <c r="H1120" s="364" t="s">
        <v>22</v>
      </c>
      <c r="I1120" s="365">
        <v>1</v>
      </c>
      <c r="J1120" s="366">
        <v>67.459999999999994</v>
      </c>
      <c r="K1120" s="366">
        <v>67.459999999999994</v>
      </c>
    </row>
    <row r="1121" spans="2:11" ht="38.25" x14ac:dyDescent="0.25">
      <c r="B1121" s="430" t="s">
        <v>189</v>
      </c>
      <c r="C1121" s="367" t="s">
        <v>218</v>
      </c>
      <c r="D1121" s="430" t="s">
        <v>31</v>
      </c>
      <c r="E1121" s="430" t="s">
        <v>219</v>
      </c>
      <c r="F1121" s="497" t="s">
        <v>188</v>
      </c>
      <c r="G1121" s="497"/>
      <c r="H1121" s="368" t="s">
        <v>32</v>
      </c>
      <c r="I1121" s="369">
        <v>0.2</v>
      </c>
      <c r="J1121" s="370">
        <v>18.48</v>
      </c>
      <c r="K1121" s="370">
        <v>3.69</v>
      </c>
    </row>
    <row r="1122" spans="2:11" ht="27.95" customHeight="1" x14ac:dyDescent="0.25">
      <c r="B1122" s="431" t="s">
        <v>190</v>
      </c>
      <c r="C1122" s="371" t="s">
        <v>856</v>
      </c>
      <c r="D1122" s="431" t="s">
        <v>214</v>
      </c>
      <c r="E1122" s="431" t="s">
        <v>857</v>
      </c>
      <c r="F1122" s="500" t="s">
        <v>199</v>
      </c>
      <c r="G1122" s="500"/>
      <c r="H1122" s="372" t="s">
        <v>22</v>
      </c>
      <c r="I1122" s="373">
        <v>1</v>
      </c>
      <c r="J1122" s="374">
        <v>63.77</v>
      </c>
      <c r="K1122" s="374">
        <v>63.77</v>
      </c>
    </row>
    <row r="1123" spans="2:11" ht="27.95" customHeight="1" x14ac:dyDescent="0.25">
      <c r="B1123" s="432"/>
      <c r="C1123" s="432"/>
      <c r="D1123" s="432"/>
      <c r="E1123" s="432"/>
      <c r="F1123" s="432"/>
      <c r="G1123" s="375"/>
      <c r="H1123" s="432"/>
      <c r="I1123" s="375"/>
      <c r="J1123" s="375"/>
      <c r="K1123"/>
    </row>
    <row r="1124" spans="2:11" ht="27.95" customHeight="1" thickBot="1" x14ac:dyDescent="0.3">
      <c r="B1124" s="432"/>
      <c r="C1124" s="432"/>
      <c r="D1124" s="432"/>
      <c r="E1124" s="432"/>
      <c r="F1124" s="432"/>
      <c r="G1124" s="375"/>
      <c r="H1124" s="432"/>
      <c r="I1124" s="432"/>
      <c r="J1124" s="375"/>
      <c r="K1124"/>
    </row>
    <row r="1125" spans="2:11" ht="13.5" thickTop="1" x14ac:dyDescent="0.25">
      <c r="B1125" s="376"/>
      <c r="C1125" s="376"/>
      <c r="D1125" s="376"/>
      <c r="E1125" s="376"/>
      <c r="F1125" s="376"/>
      <c r="G1125" s="376"/>
      <c r="H1125" s="376"/>
      <c r="I1125" s="376"/>
      <c r="J1125" s="376"/>
      <c r="K1125" s="376"/>
    </row>
    <row r="1126" spans="2:11" ht="32.450000000000003" customHeight="1" x14ac:dyDescent="0.25">
      <c r="B1126" s="433" t="s">
        <v>1662</v>
      </c>
      <c r="C1126" s="361" t="s">
        <v>0</v>
      </c>
      <c r="D1126" s="433" t="s">
        <v>185</v>
      </c>
      <c r="E1126" s="433" t="s">
        <v>83</v>
      </c>
      <c r="F1126" s="498" t="s">
        <v>1</v>
      </c>
      <c r="G1126" s="498"/>
      <c r="H1126" s="362" t="s">
        <v>3</v>
      </c>
      <c r="I1126" s="361" t="s">
        <v>186</v>
      </c>
      <c r="J1126" s="361" t="s">
        <v>187</v>
      </c>
      <c r="K1126" s="361" t="s">
        <v>4</v>
      </c>
    </row>
    <row r="1127" spans="2:11" ht="25.5" x14ac:dyDescent="0.25">
      <c r="B1127" s="434" t="s">
        <v>7</v>
      </c>
      <c r="C1127" s="363" t="s">
        <v>781</v>
      </c>
      <c r="D1127" s="434" t="s">
        <v>31</v>
      </c>
      <c r="E1127" s="434" t="s">
        <v>782</v>
      </c>
      <c r="F1127" s="499" t="s">
        <v>252</v>
      </c>
      <c r="G1127" s="499"/>
      <c r="H1127" s="364" t="s">
        <v>22</v>
      </c>
      <c r="I1127" s="365">
        <v>1</v>
      </c>
      <c r="J1127" s="366">
        <v>900.27</v>
      </c>
      <c r="K1127" s="366">
        <v>900.27</v>
      </c>
    </row>
    <row r="1128" spans="2:11" ht="38.25" x14ac:dyDescent="0.25">
      <c r="B1128" s="430" t="s">
        <v>189</v>
      </c>
      <c r="C1128" s="367" t="s">
        <v>218</v>
      </c>
      <c r="D1128" s="430" t="s">
        <v>31</v>
      </c>
      <c r="E1128" s="430" t="s">
        <v>219</v>
      </c>
      <c r="F1128" s="497" t="s">
        <v>188</v>
      </c>
      <c r="G1128" s="497"/>
      <c r="H1128" s="368" t="s">
        <v>32</v>
      </c>
      <c r="I1128" s="369">
        <v>6.2007000000000003</v>
      </c>
      <c r="J1128" s="370">
        <v>18.48</v>
      </c>
      <c r="K1128" s="370">
        <v>114.58</v>
      </c>
    </row>
    <row r="1129" spans="2:11" ht="38.25" x14ac:dyDescent="0.25">
      <c r="B1129" s="430" t="s">
        <v>189</v>
      </c>
      <c r="C1129" s="367" t="s">
        <v>220</v>
      </c>
      <c r="D1129" s="430" t="s">
        <v>31</v>
      </c>
      <c r="E1129" s="430" t="s">
        <v>221</v>
      </c>
      <c r="F1129" s="497" t="s">
        <v>188</v>
      </c>
      <c r="G1129" s="497"/>
      <c r="H1129" s="368" t="s">
        <v>32</v>
      </c>
      <c r="I1129" s="369">
        <v>6.2007000000000003</v>
      </c>
      <c r="J1129" s="370">
        <v>22.58</v>
      </c>
      <c r="K1129" s="370">
        <v>140.01</v>
      </c>
    </row>
    <row r="1130" spans="2:11" ht="27.95" customHeight="1" x14ac:dyDescent="0.25">
      <c r="B1130" s="431" t="s">
        <v>190</v>
      </c>
      <c r="C1130" s="371" t="s">
        <v>858</v>
      </c>
      <c r="D1130" s="431" t="s">
        <v>31</v>
      </c>
      <c r="E1130" s="431" t="s">
        <v>859</v>
      </c>
      <c r="F1130" s="500" t="s">
        <v>199</v>
      </c>
      <c r="G1130" s="500"/>
      <c r="H1130" s="372" t="s">
        <v>22</v>
      </c>
      <c r="I1130" s="373">
        <v>1</v>
      </c>
      <c r="J1130" s="374">
        <v>645.67999999999995</v>
      </c>
      <c r="K1130" s="374">
        <v>645.67999999999995</v>
      </c>
    </row>
    <row r="1131" spans="2:11" ht="27.95" customHeight="1" x14ac:dyDescent="0.25">
      <c r="B1131" s="432"/>
      <c r="C1131" s="432"/>
      <c r="D1131" s="432"/>
      <c r="E1131" s="432"/>
      <c r="F1131" s="432"/>
      <c r="G1131" s="375"/>
      <c r="H1131" s="432"/>
      <c r="I1131" s="375"/>
      <c r="J1131" s="375"/>
      <c r="K1131"/>
    </row>
    <row r="1132" spans="2:11" ht="14.1" customHeight="1" thickBot="1" x14ac:dyDescent="0.3">
      <c r="B1132" s="432"/>
      <c r="C1132" s="432"/>
      <c r="D1132" s="432"/>
      <c r="E1132" s="432"/>
      <c r="F1132" s="432"/>
      <c r="G1132" s="375"/>
      <c r="H1132" s="432"/>
      <c r="I1132" s="432"/>
      <c r="J1132" s="375"/>
      <c r="K1132"/>
    </row>
    <row r="1133" spans="2:11" ht="13.5" thickTop="1" x14ac:dyDescent="0.25">
      <c r="B1133" s="376"/>
      <c r="C1133" s="376"/>
      <c r="D1133" s="376"/>
      <c r="E1133" s="376"/>
      <c r="F1133" s="376"/>
      <c r="G1133" s="376"/>
      <c r="H1133" s="376"/>
      <c r="I1133" s="376"/>
      <c r="J1133" s="376"/>
      <c r="K1133" s="376"/>
    </row>
    <row r="1134" spans="2:11" ht="28.35" customHeight="1" x14ac:dyDescent="0.25">
      <c r="B1134" s="433" t="s">
        <v>1663</v>
      </c>
      <c r="C1134" s="361" t="s">
        <v>0</v>
      </c>
      <c r="D1134" s="433" t="s">
        <v>185</v>
      </c>
      <c r="E1134" s="433" t="s">
        <v>83</v>
      </c>
      <c r="F1134" s="498" t="s">
        <v>1</v>
      </c>
      <c r="G1134" s="498"/>
      <c r="H1134" s="362" t="s">
        <v>3</v>
      </c>
      <c r="I1134" s="361" t="s">
        <v>186</v>
      </c>
      <c r="J1134" s="361" t="s">
        <v>187</v>
      </c>
      <c r="K1134" s="361" t="s">
        <v>4</v>
      </c>
    </row>
    <row r="1135" spans="2:11" ht="25.5" x14ac:dyDescent="0.25">
      <c r="B1135" s="434" t="s">
        <v>7</v>
      </c>
      <c r="C1135" s="363" t="s">
        <v>783</v>
      </c>
      <c r="D1135" s="434" t="s">
        <v>214</v>
      </c>
      <c r="E1135" s="434" t="s">
        <v>784</v>
      </c>
      <c r="F1135" s="499" t="s">
        <v>1311</v>
      </c>
      <c r="G1135" s="499"/>
      <c r="H1135" s="364" t="s">
        <v>22</v>
      </c>
      <c r="I1135" s="365">
        <v>1</v>
      </c>
      <c r="J1135" s="366">
        <v>99.19</v>
      </c>
      <c r="K1135" s="366">
        <v>99.19</v>
      </c>
    </row>
    <row r="1136" spans="2:11" ht="38.25" x14ac:dyDescent="0.25">
      <c r="B1136" s="430" t="s">
        <v>189</v>
      </c>
      <c r="C1136" s="367" t="s">
        <v>218</v>
      </c>
      <c r="D1136" s="430" t="s">
        <v>31</v>
      </c>
      <c r="E1136" s="430" t="s">
        <v>219</v>
      </c>
      <c r="F1136" s="497" t="s">
        <v>188</v>
      </c>
      <c r="G1136" s="497"/>
      <c r="H1136" s="368" t="s">
        <v>32</v>
      </c>
      <c r="I1136" s="369">
        <v>0.2</v>
      </c>
      <c r="J1136" s="370">
        <v>18.48</v>
      </c>
      <c r="K1136" s="370">
        <v>3.69</v>
      </c>
    </row>
    <row r="1137" spans="2:11" ht="27.95" customHeight="1" x14ac:dyDescent="0.25">
      <c r="B1137" s="431" t="s">
        <v>190</v>
      </c>
      <c r="C1137" s="371" t="s">
        <v>860</v>
      </c>
      <c r="D1137" s="431" t="s">
        <v>214</v>
      </c>
      <c r="E1137" s="431" t="s">
        <v>861</v>
      </c>
      <c r="F1137" s="500" t="s">
        <v>199</v>
      </c>
      <c r="G1137" s="500"/>
      <c r="H1137" s="372" t="s">
        <v>22</v>
      </c>
      <c r="I1137" s="373">
        <v>1</v>
      </c>
      <c r="J1137" s="374">
        <v>95.5</v>
      </c>
      <c r="K1137" s="374">
        <v>95.5</v>
      </c>
    </row>
    <row r="1138" spans="2:11" ht="27.95" customHeight="1" x14ac:dyDescent="0.25">
      <c r="B1138" s="432"/>
      <c r="C1138" s="432"/>
      <c r="D1138" s="432"/>
      <c r="E1138" s="432"/>
      <c r="F1138" s="432"/>
      <c r="G1138" s="375"/>
      <c r="H1138" s="432"/>
      <c r="I1138" s="375"/>
      <c r="J1138" s="375"/>
      <c r="K1138"/>
    </row>
    <row r="1139" spans="2:11" ht="27.95" customHeight="1" thickBot="1" x14ac:dyDescent="0.3">
      <c r="B1139" s="432"/>
      <c r="C1139" s="432"/>
      <c r="D1139" s="432"/>
      <c r="E1139" s="432"/>
      <c r="F1139" s="432"/>
      <c r="G1139" s="375"/>
      <c r="H1139" s="432"/>
      <c r="I1139" s="432"/>
      <c r="J1139" s="375"/>
      <c r="K1139"/>
    </row>
    <row r="1140" spans="2:11" ht="14.1" customHeight="1" thickTop="1" x14ac:dyDescent="0.25">
      <c r="B1140" s="376"/>
      <c r="C1140" s="376"/>
      <c r="D1140" s="376"/>
      <c r="E1140" s="376"/>
      <c r="F1140" s="376"/>
      <c r="G1140" s="376"/>
      <c r="H1140" s="376"/>
      <c r="I1140" s="376"/>
      <c r="J1140" s="376"/>
      <c r="K1140" s="376"/>
    </row>
    <row r="1141" spans="2:11" ht="22.35" customHeight="1" x14ac:dyDescent="0.25">
      <c r="B1141" s="433" t="s">
        <v>1664</v>
      </c>
      <c r="C1141" s="361" t="s">
        <v>0</v>
      </c>
      <c r="D1141" s="433" t="s">
        <v>185</v>
      </c>
      <c r="E1141" s="433" t="s">
        <v>83</v>
      </c>
      <c r="F1141" s="498" t="s">
        <v>1</v>
      </c>
      <c r="G1141" s="498"/>
      <c r="H1141" s="362" t="s">
        <v>3</v>
      </c>
      <c r="I1141" s="361" t="s">
        <v>186</v>
      </c>
      <c r="J1141" s="361" t="s">
        <v>187</v>
      </c>
      <c r="K1141" s="361" t="s">
        <v>4</v>
      </c>
    </row>
    <row r="1142" spans="2:11" ht="25.5" x14ac:dyDescent="0.25">
      <c r="B1142" s="434" t="s">
        <v>7</v>
      </c>
      <c r="C1142" s="363" t="s">
        <v>1357</v>
      </c>
      <c r="D1142" s="434" t="s">
        <v>214</v>
      </c>
      <c r="E1142" s="434" t="s">
        <v>1358</v>
      </c>
      <c r="F1142" s="499" t="s">
        <v>1311</v>
      </c>
      <c r="G1142" s="499"/>
      <c r="H1142" s="364" t="s">
        <v>22</v>
      </c>
      <c r="I1142" s="365">
        <v>1</v>
      </c>
      <c r="J1142" s="366">
        <v>1134.55</v>
      </c>
      <c r="K1142" s="366">
        <v>1134.55</v>
      </c>
    </row>
    <row r="1143" spans="2:11" ht="38.25" x14ac:dyDescent="0.25">
      <c r="B1143" s="430" t="s">
        <v>189</v>
      </c>
      <c r="C1143" s="367" t="s">
        <v>220</v>
      </c>
      <c r="D1143" s="430" t="s">
        <v>31</v>
      </c>
      <c r="E1143" s="430" t="s">
        <v>221</v>
      </c>
      <c r="F1143" s="497" t="s">
        <v>188</v>
      </c>
      <c r="G1143" s="497"/>
      <c r="H1143" s="368" t="s">
        <v>32</v>
      </c>
      <c r="I1143" s="369">
        <v>2.0619999999999998</v>
      </c>
      <c r="J1143" s="370">
        <v>22.58</v>
      </c>
      <c r="K1143" s="370">
        <v>46.55</v>
      </c>
    </row>
    <row r="1144" spans="2:11" ht="38.25" x14ac:dyDescent="0.25">
      <c r="B1144" s="430" t="s">
        <v>189</v>
      </c>
      <c r="C1144" s="367" t="s">
        <v>218</v>
      </c>
      <c r="D1144" s="430" t="s">
        <v>31</v>
      </c>
      <c r="E1144" s="430" t="s">
        <v>219</v>
      </c>
      <c r="F1144" s="497" t="s">
        <v>188</v>
      </c>
      <c r="G1144" s="497"/>
      <c r="H1144" s="368" t="s">
        <v>32</v>
      </c>
      <c r="I1144" s="369">
        <v>2.0619999999999998</v>
      </c>
      <c r="J1144" s="370">
        <v>18.48</v>
      </c>
      <c r="K1144" s="370">
        <v>38.1</v>
      </c>
    </row>
    <row r="1145" spans="2:11" ht="27.95" customHeight="1" x14ac:dyDescent="0.25">
      <c r="B1145" s="431" t="s">
        <v>190</v>
      </c>
      <c r="C1145" s="371" t="s">
        <v>1368</v>
      </c>
      <c r="D1145" s="431" t="s">
        <v>214</v>
      </c>
      <c r="E1145" s="431" t="s">
        <v>1369</v>
      </c>
      <c r="F1145" s="500" t="s">
        <v>199</v>
      </c>
      <c r="G1145" s="500"/>
      <c r="H1145" s="372" t="s">
        <v>22</v>
      </c>
      <c r="I1145" s="373">
        <v>1</v>
      </c>
      <c r="J1145" s="374">
        <v>1049.9000000000001</v>
      </c>
      <c r="K1145" s="374">
        <v>1049.9000000000001</v>
      </c>
    </row>
    <row r="1146" spans="2:11" ht="27.95" customHeight="1" x14ac:dyDescent="0.25">
      <c r="B1146" s="432"/>
      <c r="C1146" s="432"/>
      <c r="D1146" s="432"/>
      <c r="E1146" s="432"/>
      <c r="F1146" s="432"/>
      <c r="G1146" s="375"/>
      <c r="H1146" s="432"/>
      <c r="I1146" s="375"/>
      <c r="J1146" s="375"/>
      <c r="K1146"/>
    </row>
    <row r="1147" spans="2:11" ht="27.95" customHeight="1" thickBot="1" x14ac:dyDescent="0.3">
      <c r="B1147" s="432"/>
      <c r="C1147" s="432"/>
      <c r="D1147" s="432"/>
      <c r="E1147" s="432"/>
      <c r="F1147" s="432"/>
      <c r="G1147" s="375"/>
      <c r="H1147" s="432"/>
      <c r="I1147" s="432"/>
      <c r="J1147" s="375"/>
      <c r="K1147"/>
    </row>
    <row r="1148" spans="2:11" ht="14.1" customHeight="1" thickTop="1" x14ac:dyDescent="0.25">
      <c r="B1148" s="376"/>
      <c r="C1148" s="376"/>
      <c r="D1148" s="376"/>
      <c r="E1148" s="376"/>
      <c r="F1148" s="376"/>
      <c r="G1148" s="376"/>
      <c r="H1148" s="376"/>
      <c r="I1148" s="376"/>
      <c r="J1148" s="376"/>
      <c r="K1148" s="376"/>
    </row>
    <row r="1149" spans="2:11" ht="30.6" customHeight="1" x14ac:dyDescent="0.25">
      <c r="B1149" s="433" t="s">
        <v>1665</v>
      </c>
      <c r="C1149" s="361" t="s">
        <v>0</v>
      </c>
      <c r="D1149" s="433" t="s">
        <v>185</v>
      </c>
      <c r="E1149" s="433" t="s">
        <v>83</v>
      </c>
      <c r="F1149" s="498" t="s">
        <v>1</v>
      </c>
      <c r="G1149" s="498"/>
      <c r="H1149" s="362" t="s">
        <v>3</v>
      </c>
      <c r="I1149" s="361" t="s">
        <v>186</v>
      </c>
      <c r="J1149" s="361" t="s">
        <v>187</v>
      </c>
      <c r="K1149" s="361" t="s">
        <v>4</v>
      </c>
    </row>
    <row r="1150" spans="2:11" ht="25.5" x14ac:dyDescent="0.25">
      <c r="B1150" s="434" t="s">
        <v>7</v>
      </c>
      <c r="C1150" s="363" t="s">
        <v>1041</v>
      </c>
      <c r="D1150" s="434" t="s">
        <v>125</v>
      </c>
      <c r="E1150" s="434" t="s">
        <v>1042</v>
      </c>
      <c r="F1150" s="499" t="s">
        <v>217</v>
      </c>
      <c r="G1150" s="499"/>
      <c r="H1150" s="364" t="s">
        <v>22</v>
      </c>
      <c r="I1150" s="365">
        <v>1</v>
      </c>
      <c r="J1150" s="366">
        <v>114.33</v>
      </c>
      <c r="K1150" s="366">
        <v>114.33</v>
      </c>
    </row>
    <row r="1151" spans="2:11" ht="38.25" x14ac:dyDescent="0.25">
      <c r="B1151" s="430" t="s">
        <v>189</v>
      </c>
      <c r="C1151" s="367" t="s">
        <v>220</v>
      </c>
      <c r="D1151" s="430" t="s">
        <v>31</v>
      </c>
      <c r="E1151" s="430" t="s">
        <v>221</v>
      </c>
      <c r="F1151" s="497" t="s">
        <v>188</v>
      </c>
      <c r="G1151" s="497"/>
      <c r="H1151" s="368" t="s">
        <v>32</v>
      </c>
      <c r="I1151" s="369">
        <v>0.1</v>
      </c>
      <c r="J1151" s="370">
        <v>22.58</v>
      </c>
      <c r="K1151" s="370">
        <v>2.25</v>
      </c>
    </row>
    <row r="1152" spans="2:11" ht="38.25" x14ac:dyDescent="0.25">
      <c r="B1152" s="430" t="s">
        <v>189</v>
      </c>
      <c r="C1152" s="367" t="s">
        <v>218</v>
      </c>
      <c r="D1152" s="430" t="s">
        <v>31</v>
      </c>
      <c r="E1152" s="430" t="s">
        <v>219</v>
      </c>
      <c r="F1152" s="497" t="s">
        <v>188</v>
      </c>
      <c r="G1152" s="497"/>
      <c r="H1152" s="368" t="s">
        <v>32</v>
      </c>
      <c r="I1152" s="369">
        <v>0.1</v>
      </c>
      <c r="J1152" s="370">
        <v>18.48</v>
      </c>
      <c r="K1152" s="370">
        <v>1.84</v>
      </c>
    </row>
    <row r="1153" spans="2:11" x14ac:dyDescent="0.25">
      <c r="B1153" s="431" t="s">
        <v>190</v>
      </c>
      <c r="C1153" s="371" t="s">
        <v>1236</v>
      </c>
      <c r="D1153" s="431" t="s">
        <v>125</v>
      </c>
      <c r="E1153" s="431" t="s">
        <v>1237</v>
      </c>
      <c r="F1153" s="500" t="s">
        <v>199</v>
      </c>
      <c r="G1153" s="500"/>
      <c r="H1153" s="372" t="s">
        <v>22</v>
      </c>
      <c r="I1153" s="373">
        <v>1</v>
      </c>
      <c r="J1153" s="374">
        <v>110.24</v>
      </c>
      <c r="K1153" s="374">
        <v>110.24</v>
      </c>
    </row>
    <row r="1154" spans="2:11" ht="15" x14ac:dyDescent="0.25">
      <c r="B1154" s="432"/>
      <c r="C1154" s="432"/>
      <c r="D1154" s="432"/>
      <c r="E1154" s="432"/>
      <c r="F1154" s="432"/>
      <c r="G1154" s="375"/>
      <c r="H1154" s="432"/>
      <c r="I1154" s="375"/>
      <c r="J1154" s="375"/>
      <c r="K1154"/>
    </row>
    <row r="1155" spans="2:11" ht="27.95" customHeight="1" thickBot="1" x14ac:dyDescent="0.3">
      <c r="B1155" s="432"/>
      <c r="C1155" s="432"/>
      <c r="D1155" s="432"/>
      <c r="E1155" s="432"/>
      <c r="F1155" s="432"/>
      <c r="G1155" s="375"/>
      <c r="H1155" s="432"/>
      <c r="I1155" s="432"/>
      <c r="J1155" s="375"/>
      <c r="K1155"/>
    </row>
    <row r="1156" spans="2:11" ht="27.95" customHeight="1" thickTop="1" x14ac:dyDescent="0.25">
      <c r="B1156" s="376"/>
      <c r="C1156" s="376"/>
      <c r="D1156" s="376"/>
      <c r="E1156" s="376"/>
      <c r="F1156" s="376"/>
      <c r="G1156" s="376"/>
      <c r="H1156" s="376"/>
      <c r="I1156" s="376"/>
      <c r="J1156" s="376"/>
      <c r="K1156" s="376"/>
    </row>
    <row r="1157" spans="2:11" ht="20.45" customHeight="1" x14ac:dyDescent="0.25">
      <c r="B1157" s="433" t="s">
        <v>1666</v>
      </c>
      <c r="C1157" s="361" t="s">
        <v>0</v>
      </c>
      <c r="D1157" s="433" t="s">
        <v>185</v>
      </c>
      <c r="E1157" s="433" t="s">
        <v>83</v>
      </c>
      <c r="F1157" s="498" t="s">
        <v>1</v>
      </c>
      <c r="G1157" s="498"/>
      <c r="H1157" s="362" t="s">
        <v>3</v>
      </c>
      <c r="I1157" s="361" t="s">
        <v>186</v>
      </c>
      <c r="J1157" s="361" t="s">
        <v>187</v>
      </c>
      <c r="K1157" s="361" t="s">
        <v>4</v>
      </c>
    </row>
    <row r="1158" spans="2:11" ht="25.5" x14ac:dyDescent="0.25">
      <c r="B1158" s="434" t="s">
        <v>7</v>
      </c>
      <c r="C1158" s="363" t="s">
        <v>1043</v>
      </c>
      <c r="D1158" s="434" t="s">
        <v>905</v>
      </c>
      <c r="E1158" s="434" t="s">
        <v>1044</v>
      </c>
      <c r="F1158" s="499">
        <v>7</v>
      </c>
      <c r="G1158" s="499"/>
      <c r="H1158" s="364" t="s">
        <v>847</v>
      </c>
      <c r="I1158" s="365">
        <v>1</v>
      </c>
      <c r="J1158" s="366">
        <v>26.12</v>
      </c>
      <c r="K1158" s="366">
        <v>26.12</v>
      </c>
    </row>
    <row r="1159" spans="2:11" ht="25.5" x14ac:dyDescent="0.25">
      <c r="B1159" s="431" t="s">
        <v>190</v>
      </c>
      <c r="C1159" s="371" t="s">
        <v>1238</v>
      </c>
      <c r="D1159" s="431" t="s">
        <v>905</v>
      </c>
      <c r="E1159" s="431" t="s">
        <v>1239</v>
      </c>
      <c r="F1159" s="500" t="s">
        <v>199</v>
      </c>
      <c r="G1159" s="500"/>
      <c r="H1159" s="372" t="s">
        <v>227</v>
      </c>
      <c r="I1159" s="373">
        <v>1</v>
      </c>
      <c r="J1159" s="374">
        <v>22.12</v>
      </c>
      <c r="K1159" s="374">
        <v>22.12</v>
      </c>
    </row>
    <row r="1160" spans="2:11" ht="25.5" x14ac:dyDescent="0.25">
      <c r="B1160" s="431" t="s">
        <v>190</v>
      </c>
      <c r="C1160" s="371" t="s">
        <v>1134</v>
      </c>
      <c r="D1160" s="431" t="s">
        <v>905</v>
      </c>
      <c r="E1160" s="431" t="s">
        <v>1135</v>
      </c>
      <c r="F1160" s="500" t="s">
        <v>191</v>
      </c>
      <c r="G1160" s="500"/>
      <c r="H1160" s="372" t="s">
        <v>1126</v>
      </c>
      <c r="I1160" s="373">
        <v>0.13</v>
      </c>
      <c r="J1160" s="374">
        <v>12.31</v>
      </c>
      <c r="K1160" s="374">
        <v>1.6</v>
      </c>
    </row>
    <row r="1161" spans="2:11" ht="25.5" x14ac:dyDescent="0.25">
      <c r="B1161" s="431" t="s">
        <v>190</v>
      </c>
      <c r="C1161" s="371" t="s">
        <v>1136</v>
      </c>
      <c r="D1161" s="431" t="s">
        <v>905</v>
      </c>
      <c r="E1161" s="431" t="s">
        <v>225</v>
      </c>
      <c r="F1161" s="500" t="s">
        <v>191</v>
      </c>
      <c r="G1161" s="500"/>
      <c r="H1161" s="372" t="s">
        <v>1126</v>
      </c>
      <c r="I1161" s="373">
        <v>0.13</v>
      </c>
      <c r="J1161" s="374">
        <v>18.510000000000002</v>
      </c>
      <c r="K1161" s="374">
        <v>2.4</v>
      </c>
    </row>
    <row r="1162" spans="2:11" ht="15" x14ac:dyDescent="0.25">
      <c r="B1162" s="432"/>
      <c r="C1162" s="432"/>
      <c r="D1162" s="432"/>
      <c r="E1162" s="432"/>
      <c r="F1162" s="432"/>
      <c r="G1162" s="375"/>
      <c r="H1162" s="432"/>
      <c r="I1162" s="375"/>
      <c r="J1162" s="375"/>
      <c r="K1162"/>
    </row>
    <row r="1163" spans="2:11" ht="15.75" thickBot="1" x14ac:dyDescent="0.3">
      <c r="B1163" s="432"/>
      <c r="C1163" s="432"/>
      <c r="D1163" s="432"/>
      <c r="E1163" s="432"/>
      <c r="F1163" s="432"/>
      <c r="G1163" s="375"/>
      <c r="H1163" s="432"/>
      <c r="I1163" s="432"/>
      <c r="J1163" s="375"/>
      <c r="K1163"/>
    </row>
    <row r="1164" spans="2:11" ht="13.5" thickTop="1" x14ac:dyDescent="0.25">
      <c r="B1164" s="376"/>
      <c r="C1164" s="376"/>
      <c r="D1164" s="376"/>
      <c r="E1164" s="376"/>
      <c r="F1164" s="376"/>
      <c r="G1164" s="376"/>
      <c r="H1164" s="376"/>
      <c r="I1164" s="376"/>
      <c r="J1164" s="376"/>
      <c r="K1164" s="376"/>
    </row>
    <row r="1165" spans="2:11" ht="20.45" customHeight="1" x14ac:dyDescent="0.25">
      <c r="B1165" s="433" t="s">
        <v>1667</v>
      </c>
      <c r="C1165" s="361" t="s">
        <v>0</v>
      </c>
      <c r="D1165" s="433" t="s">
        <v>185</v>
      </c>
      <c r="E1165" s="433" t="s">
        <v>83</v>
      </c>
      <c r="F1165" s="498" t="s">
        <v>1</v>
      </c>
      <c r="G1165" s="498"/>
      <c r="H1165" s="362" t="s">
        <v>3</v>
      </c>
      <c r="I1165" s="361" t="s">
        <v>186</v>
      </c>
      <c r="J1165" s="361" t="s">
        <v>187</v>
      </c>
      <c r="K1165" s="361" t="s">
        <v>4</v>
      </c>
    </row>
    <row r="1166" spans="2:11" ht="38.25" x14ac:dyDescent="0.25">
      <c r="B1166" s="434" t="s">
        <v>7</v>
      </c>
      <c r="C1166" s="363" t="s">
        <v>1045</v>
      </c>
      <c r="D1166" s="434" t="s">
        <v>267</v>
      </c>
      <c r="E1166" s="434" t="s">
        <v>1046</v>
      </c>
      <c r="F1166" s="499">
        <v>69.03</v>
      </c>
      <c r="G1166" s="499"/>
      <c r="H1166" s="364" t="s">
        <v>22</v>
      </c>
      <c r="I1166" s="365">
        <v>1</v>
      </c>
      <c r="J1166" s="366">
        <v>43.18</v>
      </c>
      <c r="K1166" s="366">
        <v>43.18</v>
      </c>
    </row>
    <row r="1167" spans="2:11" ht="38.25" x14ac:dyDescent="0.25">
      <c r="B1167" s="431" t="s">
        <v>190</v>
      </c>
      <c r="C1167" s="371" t="s">
        <v>1160</v>
      </c>
      <c r="D1167" s="431" t="s">
        <v>267</v>
      </c>
      <c r="E1167" s="431" t="s">
        <v>1161</v>
      </c>
      <c r="F1167" s="500" t="s">
        <v>191</v>
      </c>
      <c r="G1167" s="500"/>
      <c r="H1167" s="372" t="s">
        <v>32</v>
      </c>
      <c r="I1167" s="373">
        <v>0.15</v>
      </c>
      <c r="J1167" s="374">
        <v>25.22</v>
      </c>
      <c r="K1167" s="374">
        <v>3.78</v>
      </c>
    </row>
    <row r="1168" spans="2:11" ht="38.25" x14ac:dyDescent="0.25">
      <c r="B1168" s="431" t="s">
        <v>190</v>
      </c>
      <c r="C1168" s="371" t="s">
        <v>1162</v>
      </c>
      <c r="D1168" s="431" t="s">
        <v>267</v>
      </c>
      <c r="E1168" s="431" t="s">
        <v>1163</v>
      </c>
      <c r="F1168" s="500" t="s">
        <v>191</v>
      </c>
      <c r="G1168" s="500"/>
      <c r="H1168" s="372" t="s">
        <v>32</v>
      </c>
      <c r="I1168" s="373">
        <v>0.15</v>
      </c>
      <c r="J1168" s="374">
        <v>16.739999999999998</v>
      </c>
      <c r="K1168" s="374">
        <v>2.5099999999999998</v>
      </c>
    </row>
    <row r="1169" spans="2:11" ht="38.25" x14ac:dyDescent="0.25">
      <c r="B1169" s="431" t="s">
        <v>190</v>
      </c>
      <c r="C1169" s="371" t="s">
        <v>1240</v>
      </c>
      <c r="D1169" s="431" t="s">
        <v>267</v>
      </c>
      <c r="E1169" s="431" t="s">
        <v>1241</v>
      </c>
      <c r="F1169" s="500" t="s">
        <v>199</v>
      </c>
      <c r="G1169" s="500"/>
      <c r="H1169" s="372" t="s">
        <v>22</v>
      </c>
      <c r="I1169" s="373">
        <v>1</v>
      </c>
      <c r="J1169" s="374">
        <v>36.89</v>
      </c>
      <c r="K1169" s="374">
        <v>36.89</v>
      </c>
    </row>
    <row r="1170" spans="2:11" ht="27.95" customHeight="1" x14ac:dyDescent="0.25">
      <c r="B1170" s="432"/>
      <c r="C1170" s="432"/>
      <c r="D1170" s="432"/>
      <c r="E1170" s="432"/>
      <c r="F1170" s="432"/>
      <c r="G1170" s="375"/>
      <c r="H1170" s="432"/>
      <c r="I1170" s="375"/>
      <c r="J1170" s="375"/>
      <c r="K1170"/>
    </row>
    <row r="1171" spans="2:11" ht="27.95" customHeight="1" thickBot="1" x14ac:dyDescent="0.3">
      <c r="B1171" s="432"/>
      <c r="C1171" s="432"/>
      <c r="D1171" s="432"/>
      <c r="E1171" s="432"/>
      <c r="F1171" s="432"/>
      <c r="G1171" s="375"/>
      <c r="H1171" s="432"/>
      <c r="I1171" s="432"/>
      <c r="J1171" s="375"/>
      <c r="K1171"/>
    </row>
    <row r="1172" spans="2:11" ht="13.5" thickTop="1" x14ac:dyDescent="0.25">
      <c r="B1172" s="376"/>
      <c r="C1172" s="376"/>
      <c r="D1172" s="376"/>
      <c r="E1172" s="376"/>
      <c r="F1172" s="376"/>
      <c r="G1172" s="376"/>
      <c r="H1172" s="376"/>
      <c r="I1172" s="376"/>
      <c r="J1172" s="376"/>
      <c r="K1172" s="376"/>
    </row>
    <row r="1173" spans="2:11" ht="14.1" customHeight="1" x14ac:dyDescent="0.25">
      <c r="B1173" s="433" t="s">
        <v>1668</v>
      </c>
      <c r="C1173" s="361" t="s">
        <v>0</v>
      </c>
      <c r="D1173" s="433" t="s">
        <v>185</v>
      </c>
      <c r="E1173" s="433" t="s">
        <v>83</v>
      </c>
      <c r="F1173" s="498" t="s">
        <v>1</v>
      </c>
      <c r="G1173" s="498"/>
      <c r="H1173" s="362" t="s">
        <v>3</v>
      </c>
      <c r="I1173" s="361" t="s">
        <v>186</v>
      </c>
      <c r="J1173" s="361" t="s">
        <v>187</v>
      </c>
      <c r="K1173" s="361" t="s">
        <v>4</v>
      </c>
    </row>
    <row r="1174" spans="2:11" ht="63.75" x14ac:dyDescent="0.25">
      <c r="B1174" s="434" t="s">
        <v>7</v>
      </c>
      <c r="C1174" s="363" t="s">
        <v>1251</v>
      </c>
      <c r="D1174" s="434" t="s">
        <v>125</v>
      </c>
      <c r="E1174" s="434" t="s">
        <v>1252</v>
      </c>
      <c r="F1174" s="499" t="s">
        <v>1318</v>
      </c>
      <c r="G1174" s="499"/>
      <c r="H1174" s="364" t="s">
        <v>22</v>
      </c>
      <c r="I1174" s="365">
        <v>1</v>
      </c>
      <c r="J1174" s="366">
        <v>10.1</v>
      </c>
      <c r="K1174" s="366">
        <v>10.1</v>
      </c>
    </row>
    <row r="1175" spans="2:11" ht="38.25" x14ac:dyDescent="0.25">
      <c r="B1175" s="430" t="s">
        <v>189</v>
      </c>
      <c r="C1175" s="367" t="s">
        <v>220</v>
      </c>
      <c r="D1175" s="430" t="s">
        <v>31</v>
      </c>
      <c r="E1175" s="430" t="s">
        <v>221</v>
      </c>
      <c r="F1175" s="497" t="s">
        <v>188</v>
      </c>
      <c r="G1175" s="497"/>
      <c r="H1175" s="368" t="s">
        <v>32</v>
      </c>
      <c r="I1175" s="369">
        <v>0.1</v>
      </c>
      <c r="J1175" s="370">
        <v>22.58</v>
      </c>
      <c r="K1175" s="370">
        <v>2.25</v>
      </c>
    </row>
    <row r="1176" spans="2:11" ht="38.25" x14ac:dyDescent="0.25">
      <c r="B1176" s="430" t="s">
        <v>189</v>
      </c>
      <c r="C1176" s="367" t="s">
        <v>218</v>
      </c>
      <c r="D1176" s="430" t="s">
        <v>31</v>
      </c>
      <c r="E1176" s="430" t="s">
        <v>219</v>
      </c>
      <c r="F1176" s="497" t="s">
        <v>188</v>
      </c>
      <c r="G1176" s="497"/>
      <c r="H1176" s="368" t="s">
        <v>32</v>
      </c>
      <c r="I1176" s="369">
        <v>0.1</v>
      </c>
      <c r="J1176" s="370">
        <v>18.48</v>
      </c>
      <c r="K1176" s="370">
        <v>1.84</v>
      </c>
    </row>
    <row r="1177" spans="2:11" ht="25.5" x14ac:dyDescent="0.25">
      <c r="B1177" s="431" t="s">
        <v>190</v>
      </c>
      <c r="C1177" s="371" t="s">
        <v>1319</v>
      </c>
      <c r="D1177" s="431" t="s">
        <v>875</v>
      </c>
      <c r="E1177" s="431" t="s">
        <v>1320</v>
      </c>
      <c r="F1177" s="500" t="s">
        <v>199</v>
      </c>
      <c r="G1177" s="500"/>
      <c r="H1177" s="372" t="s">
        <v>227</v>
      </c>
      <c r="I1177" s="373">
        <v>1</v>
      </c>
      <c r="J1177" s="374">
        <v>6.01</v>
      </c>
      <c r="K1177" s="374">
        <v>6.01</v>
      </c>
    </row>
    <row r="1178" spans="2:11" ht="56.1" customHeight="1" x14ac:dyDescent="0.25">
      <c r="B1178" s="431" t="s">
        <v>190</v>
      </c>
      <c r="C1178" s="371" t="s">
        <v>1321</v>
      </c>
      <c r="D1178" s="431" t="s">
        <v>125</v>
      </c>
      <c r="E1178" s="431" t="s">
        <v>1322</v>
      </c>
      <c r="F1178" s="500" t="s">
        <v>199</v>
      </c>
      <c r="G1178" s="500"/>
      <c r="H1178" s="372" t="s">
        <v>22</v>
      </c>
      <c r="I1178" s="373">
        <v>0</v>
      </c>
      <c r="J1178" s="374">
        <v>1</v>
      </c>
      <c r="K1178" s="374">
        <v>0</v>
      </c>
    </row>
    <row r="1179" spans="2:11" ht="27.95" customHeight="1" x14ac:dyDescent="0.25">
      <c r="B1179" s="432"/>
      <c r="C1179" s="432"/>
      <c r="D1179" s="432"/>
      <c r="E1179" s="432"/>
      <c r="F1179" s="432"/>
      <c r="G1179" s="375"/>
      <c r="H1179" s="432"/>
      <c r="I1179" s="375"/>
      <c r="J1179" s="375"/>
      <c r="K1179"/>
    </row>
    <row r="1180" spans="2:11" ht="15.75" thickBot="1" x14ac:dyDescent="0.3">
      <c r="B1180" s="432"/>
      <c r="C1180" s="432"/>
      <c r="D1180" s="432"/>
      <c r="E1180" s="432"/>
      <c r="F1180" s="432"/>
      <c r="G1180" s="375"/>
      <c r="H1180" s="432"/>
      <c r="I1180" s="432"/>
      <c r="J1180" s="375"/>
      <c r="K1180"/>
    </row>
    <row r="1181" spans="2:11" ht="13.5" thickTop="1" x14ac:dyDescent="0.25">
      <c r="B1181" s="376"/>
      <c r="C1181" s="376"/>
      <c r="D1181" s="376"/>
      <c r="E1181" s="376"/>
      <c r="F1181" s="376"/>
      <c r="G1181" s="376"/>
      <c r="H1181" s="376"/>
      <c r="I1181" s="376"/>
      <c r="J1181" s="376"/>
      <c r="K1181" s="376"/>
    </row>
    <row r="1182" spans="2:11" ht="23.45" customHeight="1" x14ac:dyDescent="0.25">
      <c r="B1182" s="433" t="s">
        <v>1669</v>
      </c>
      <c r="C1182" s="361" t="s">
        <v>0</v>
      </c>
      <c r="D1182" s="433" t="s">
        <v>185</v>
      </c>
      <c r="E1182" s="433" t="s">
        <v>83</v>
      </c>
      <c r="F1182" s="498" t="s">
        <v>1</v>
      </c>
      <c r="G1182" s="498"/>
      <c r="H1182" s="362" t="s">
        <v>3</v>
      </c>
      <c r="I1182" s="361" t="s">
        <v>186</v>
      </c>
      <c r="J1182" s="361" t="s">
        <v>187</v>
      </c>
      <c r="K1182" s="361" t="s">
        <v>4</v>
      </c>
    </row>
    <row r="1183" spans="2:11" ht="51" x14ac:dyDescent="0.25">
      <c r="B1183" s="434" t="s">
        <v>7</v>
      </c>
      <c r="C1183" s="363" t="s">
        <v>1282</v>
      </c>
      <c r="D1183" s="434" t="s">
        <v>125</v>
      </c>
      <c r="E1183" s="434" t="s">
        <v>1283</v>
      </c>
      <c r="F1183" s="499" t="s">
        <v>1182</v>
      </c>
      <c r="G1183" s="499"/>
      <c r="H1183" s="364" t="s">
        <v>22</v>
      </c>
      <c r="I1183" s="365">
        <v>1</v>
      </c>
      <c r="J1183" s="366">
        <v>1014.1</v>
      </c>
      <c r="K1183" s="366">
        <v>1014.1</v>
      </c>
    </row>
    <row r="1184" spans="2:11" ht="38.25" x14ac:dyDescent="0.25">
      <c r="B1184" s="430" t="s">
        <v>189</v>
      </c>
      <c r="C1184" s="367" t="s">
        <v>220</v>
      </c>
      <c r="D1184" s="430" t="s">
        <v>31</v>
      </c>
      <c r="E1184" s="430" t="s">
        <v>221</v>
      </c>
      <c r="F1184" s="497" t="s">
        <v>188</v>
      </c>
      <c r="G1184" s="497"/>
      <c r="H1184" s="368" t="s">
        <v>32</v>
      </c>
      <c r="I1184" s="369">
        <v>1</v>
      </c>
      <c r="J1184" s="370">
        <v>22.58</v>
      </c>
      <c r="K1184" s="370">
        <v>22.58</v>
      </c>
    </row>
    <row r="1185" spans="2:11" ht="25.5" x14ac:dyDescent="0.25">
      <c r="B1185" s="431" t="s">
        <v>190</v>
      </c>
      <c r="C1185" s="371" t="s">
        <v>1334</v>
      </c>
      <c r="D1185" s="431" t="s">
        <v>1335</v>
      </c>
      <c r="E1185" s="431" t="s">
        <v>1336</v>
      </c>
      <c r="F1185" s="500" t="s">
        <v>199</v>
      </c>
      <c r="G1185" s="500"/>
      <c r="H1185" s="372" t="s">
        <v>22</v>
      </c>
      <c r="I1185" s="373">
        <v>2.14</v>
      </c>
      <c r="J1185" s="374">
        <v>463.33</v>
      </c>
      <c r="K1185" s="374">
        <v>991.52</v>
      </c>
    </row>
    <row r="1186" spans="2:11" ht="15" x14ac:dyDescent="0.25">
      <c r="B1186" s="432"/>
      <c r="C1186" s="432"/>
      <c r="D1186" s="432"/>
      <c r="E1186" s="432"/>
      <c r="F1186" s="432"/>
      <c r="G1186" s="375"/>
      <c r="H1186" s="432"/>
      <c r="I1186" s="375"/>
      <c r="J1186" s="375"/>
      <c r="K1186"/>
    </row>
    <row r="1187" spans="2:11" ht="15" x14ac:dyDescent="0.25">
      <c r="B1187" s="432"/>
      <c r="C1187" s="432"/>
      <c r="D1187" s="432"/>
      <c r="E1187" s="432"/>
      <c r="F1187" s="432"/>
      <c r="G1187" s="375"/>
      <c r="H1187" s="432"/>
      <c r="I1187" s="432"/>
      <c r="J1187" s="375"/>
      <c r="K1187"/>
    </row>
    <row r="1188" spans="2:11" ht="15.75" thickBot="1" x14ac:dyDescent="0.3">
      <c r="B1188" s="432"/>
      <c r="C1188" s="432"/>
      <c r="D1188" s="432"/>
      <c r="E1188" s="432"/>
      <c r="F1188" s="432"/>
      <c r="G1188" s="375"/>
      <c r="H1188" s="432"/>
      <c r="I1188" s="432"/>
      <c r="J1188" s="375"/>
      <c r="K1188"/>
    </row>
    <row r="1189" spans="2:11" s="304" customFormat="1" ht="13.5" thickTop="1" x14ac:dyDescent="0.25">
      <c r="B1189" s="376"/>
      <c r="C1189" s="376"/>
      <c r="D1189" s="376"/>
      <c r="E1189" s="376"/>
      <c r="F1189" s="376"/>
      <c r="G1189" s="376"/>
      <c r="H1189" s="376"/>
      <c r="I1189" s="376"/>
      <c r="J1189" s="376"/>
      <c r="K1189" s="376"/>
    </row>
    <row r="1190" spans="2:11" s="304" customFormat="1" ht="19.350000000000001" customHeight="1" x14ac:dyDescent="0.25">
      <c r="B1190" s="433" t="s">
        <v>1048</v>
      </c>
      <c r="C1190" s="361" t="s">
        <v>0</v>
      </c>
      <c r="D1190" s="433" t="s">
        <v>185</v>
      </c>
      <c r="E1190" s="433" t="s">
        <v>83</v>
      </c>
      <c r="F1190" s="498" t="s">
        <v>1</v>
      </c>
      <c r="G1190" s="498"/>
      <c r="H1190" s="362" t="s">
        <v>3</v>
      </c>
      <c r="I1190" s="361" t="s">
        <v>186</v>
      </c>
      <c r="J1190" s="361" t="s">
        <v>187</v>
      </c>
      <c r="K1190" s="361" t="s">
        <v>4</v>
      </c>
    </row>
    <row r="1191" spans="2:11" s="304" customFormat="1" ht="25.5" x14ac:dyDescent="0.25">
      <c r="B1191" s="434" t="s">
        <v>7</v>
      </c>
      <c r="C1191" s="363" t="s">
        <v>774</v>
      </c>
      <c r="D1191" s="434" t="s">
        <v>214</v>
      </c>
      <c r="E1191" s="434" t="s">
        <v>775</v>
      </c>
      <c r="F1191" s="499" t="s">
        <v>1310</v>
      </c>
      <c r="G1191" s="499"/>
      <c r="H1191" s="364" t="s">
        <v>22</v>
      </c>
      <c r="I1191" s="365">
        <v>1</v>
      </c>
      <c r="J1191" s="366">
        <v>1641.17</v>
      </c>
      <c r="K1191" s="366">
        <v>1641.17</v>
      </c>
    </row>
    <row r="1192" spans="2:11" s="304" customFormat="1" ht="38.25" x14ac:dyDescent="0.25">
      <c r="B1192" s="430" t="s">
        <v>189</v>
      </c>
      <c r="C1192" s="367" t="s">
        <v>222</v>
      </c>
      <c r="D1192" s="430" t="s">
        <v>31</v>
      </c>
      <c r="E1192" s="430" t="s">
        <v>223</v>
      </c>
      <c r="F1192" s="497" t="s">
        <v>188</v>
      </c>
      <c r="G1192" s="497"/>
      <c r="H1192" s="368" t="s">
        <v>32</v>
      </c>
      <c r="I1192" s="369">
        <v>1.169</v>
      </c>
      <c r="J1192" s="370">
        <v>18.12</v>
      </c>
      <c r="K1192" s="370">
        <v>21.18</v>
      </c>
    </row>
    <row r="1193" spans="2:11" s="304" customFormat="1" ht="38.25" x14ac:dyDescent="0.25">
      <c r="B1193" s="430" t="s">
        <v>189</v>
      </c>
      <c r="C1193" s="367" t="s">
        <v>271</v>
      </c>
      <c r="D1193" s="430" t="s">
        <v>31</v>
      </c>
      <c r="E1193" s="430" t="s">
        <v>272</v>
      </c>
      <c r="F1193" s="497" t="s">
        <v>188</v>
      </c>
      <c r="G1193" s="497"/>
      <c r="H1193" s="368" t="s">
        <v>32</v>
      </c>
      <c r="I1193" s="369">
        <v>1.169</v>
      </c>
      <c r="J1193" s="370">
        <v>29.08</v>
      </c>
      <c r="K1193" s="370">
        <v>33.99</v>
      </c>
    </row>
    <row r="1194" spans="2:11" s="304" customFormat="1" x14ac:dyDescent="0.25">
      <c r="B1194" s="431" t="s">
        <v>190</v>
      </c>
      <c r="C1194" s="371" t="s">
        <v>1674</v>
      </c>
      <c r="D1194" s="431" t="s">
        <v>214</v>
      </c>
      <c r="E1194" s="431" t="s">
        <v>1675</v>
      </c>
      <c r="F1194" s="500" t="s">
        <v>199</v>
      </c>
      <c r="G1194" s="500"/>
      <c r="H1194" s="372" t="s">
        <v>22</v>
      </c>
      <c r="I1194" s="373">
        <v>1</v>
      </c>
      <c r="J1194" s="374">
        <v>1586</v>
      </c>
      <c r="K1194" s="374">
        <v>1586</v>
      </c>
    </row>
    <row r="1195" spans="2:11" s="304" customFormat="1" ht="15" x14ac:dyDescent="0.25">
      <c r="B1195" s="432"/>
      <c r="C1195" s="432"/>
      <c r="D1195" s="432"/>
      <c r="E1195" s="432"/>
      <c r="F1195" s="432"/>
      <c r="G1195" s="375"/>
      <c r="H1195" s="432"/>
      <c r="I1195" s="375"/>
      <c r="J1195" s="375"/>
      <c r="K1195"/>
    </row>
    <row r="1196" spans="2:11" s="304" customFormat="1" ht="15.75" thickBot="1" x14ac:dyDescent="0.3">
      <c r="B1196" s="432"/>
      <c r="C1196" s="432"/>
      <c r="D1196" s="432"/>
      <c r="E1196" s="432"/>
      <c r="F1196" s="432"/>
      <c r="G1196" s="375"/>
      <c r="H1196" s="432"/>
      <c r="I1196" s="432"/>
      <c r="J1196" s="375"/>
      <c r="K1196"/>
    </row>
    <row r="1197" spans="2:11" ht="13.5" thickTop="1" x14ac:dyDescent="0.25">
      <c r="B1197" s="376"/>
      <c r="C1197" s="376"/>
      <c r="D1197" s="376"/>
      <c r="E1197" s="376"/>
      <c r="F1197" s="376"/>
      <c r="G1197" s="376"/>
      <c r="H1197" s="376"/>
      <c r="I1197" s="376"/>
      <c r="J1197" s="376"/>
      <c r="K1197" s="376"/>
    </row>
    <row r="1198" spans="2:11" ht="22.7" customHeight="1" x14ac:dyDescent="0.25">
      <c r="B1198" s="433" t="s">
        <v>1648</v>
      </c>
      <c r="C1198" s="361" t="s">
        <v>0</v>
      </c>
      <c r="D1198" s="433" t="s">
        <v>185</v>
      </c>
      <c r="E1198" s="433" t="s">
        <v>83</v>
      </c>
      <c r="F1198" s="498" t="s">
        <v>1</v>
      </c>
      <c r="G1198" s="498"/>
      <c r="H1198" s="362" t="s">
        <v>3</v>
      </c>
      <c r="I1198" s="361" t="s">
        <v>186</v>
      </c>
      <c r="J1198" s="361" t="s">
        <v>187</v>
      </c>
      <c r="K1198" s="361" t="s">
        <v>4</v>
      </c>
    </row>
    <row r="1199" spans="2:11" ht="27.95" customHeight="1" x14ac:dyDescent="0.25">
      <c r="B1199" s="434" t="s">
        <v>7</v>
      </c>
      <c r="C1199" s="363" t="s">
        <v>776</v>
      </c>
      <c r="D1199" s="434" t="s">
        <v>125</v>
      </c>
      <c r="E1199" s="434" t="s">
        <v>562</v>
      </c>
      <c r="F1199" s="499" t="s">
        <v>252</v>
      </c>
      <c r="G1199" s="499"/>
      <c r="H1199" s="364" t="s">
        <v>245</v>
      </c>
      <c r="I1199" s="365">
        <v>1</v>
      </c>
      <c r="J1199" s="366">
        <v>522.19000000000005</v>
      </c>
      <c r="K1199" s="366">
        <v>522.19000000000005</v>
      </c>
    </row>
    <row r="1200" spans="2:11" ht="27.95" customHeight="1" x14ac:dyDescent="0.25">
      <c r="B1200" s="430" t="s">
        <v>189</v>
      </c>
      <c r="C1200" s="367" t="s">
        <v>220</v>
      </c>
      <c r="D1200" s="430" t="s">
        <v>31</v>
      </c>
      <c r="E1200" s="430" t="s">
        <v>221</v>
      </c>
      <c r="F1200" s="497" t="s">
        <v>188</v>
      </c>
      <c r="G1200" s="497"/>
      <c r="H1200" s="368" t="s">
        <v>32</v>
      </c>
      <c r="I1200" s="369">
        <v>0.2</v>
      </c>
      <c r="J1200" s="370">
        <v>22.58</v>
      </c>
      <c r="K1200" s="370">
        <v>4.51</v>
      </c>
    </row>
    <row r="1201" spans="2:11" ht="27.95" customHeight="1" x14ac:dyDescent="0.25">
      <c r="B1201" s="430" t="s">
        <v>189</v>
      </c>
      <c r="C1201" s="367" t="s">
        <v>218</v>
      </c>
      <c r="D1201" s="430" t="s">
        <v>31</v>
      </c>
      <c r="E1201" s="430" t="s">
        <v>219</v>
      </c>
      <c r="F1201" s="497" t="s">
        <v>188</v>
      </c>
      <c r="G1201" s="497"/>
      <c r="H1201" s="368" t="s">
        <v>32</v>
      </c>
      <c r="I1201" s="369">
        <v>0.2</v>
      </c>
      <c r="J1201" s="370">
        <v>18.48</v>
      </c>
      <c r="K1201" s="370">
        <v>3.69</v>
      </c>
    </row>
    <row r="1202" spans="2:11" ht="14.1" customHeight="1" x14ac:dyDescent="0.25">
      <c r="B1202" s="431" t="s">
        <v>190</v>
      </c>
      <c r="C1202" s="371" t="s">
        <v>852</v>
      </c>
      <c r="D1202" s="431" t="s">
        <v>214</v>
      </c>
      <c r="E1202" s="431" t="s">
        <v>853</v>
      </c>
      <c r="F1202" s="500" t="s">
        <v>199</v>
      </c>
      <c r="G1202" s="500"/>
      <c r="H1202" s="372" t="s">
        <v>22</v>
      </c>
      <c r="I1202" s="373">
        <v>1</v>
      </c>
      <c r="J1202" s="374">
        <v>513.99</v>
      </c>
      <c r="K1202" s="374">
        <v>513.99</v>
      </c>
    </row>
    <row r="1203" spans="2:11" ht="15" x14ac:dyDescent="0.25">
      <c r="B1203" s="432"/>
      <c r="C1203" s="432"/>
      <c r="D1203" s="432"/>
      <c r="E1203" s="432"/>
      <c r="F1203" s="432"/>
      <c r="G1203" s="375"/>
      <c r="H1203" s="432"/>
      <c r="I1203" s="375"/>
      <c r="J1203" s="375"/>
      <c r="K1203"/>
    </row>
    <row r="1204" spans="2:11" ht="15" x14ac:dyDescent="0.25">
      <c r="B1204" s="432"/>
      <c r="C1204" s="432"/>
      <c r="D1204" s="432"/>
      <c r="E1204" s="432"/>
      <c r="F1204" s="432"/>
      <c r="G1204" s="375"/>
      <c r="H1204" s="432"/>
      <c r="I1204" s="432"/>
      <c r="J1204" s="375"/>
      <c r="K1204"/>
    </row>
    <row r="1205" spans="2:11" ht="31.7" customHeight="1" x14ac:dyDescent="0.25">
      <c r="B1205" s="433" t="s">
        <v>1649</v>
      </c>
      <c r="C1205" s="361" t="s">
        <v>0</v>
      </c>
      <c r="D1205" s="433" t="s">
        <v>185</v>
      </c>
      <c r="E1205" s="433" t="s">
        <v>83</v>
      </c>
      <c r="F1205" s="498" t="s">
        <v>1</v>
      </c>
      <c r="G1205" s="498"/>
      <c r="H1205" s="362" t="s">
        <v>3</v>
      </c>
      <c r="I1205" s="361" t="s">
        <v>186</v>
      </c>
      <c r="J1205" s="361" t="s">
        <v>187</v>
      </c>
      <c r="K1205" s="361" t="s">
        <v>4</v>
      </c>
    </row>
    <row r="1206" spans="2:11" ht="25.5" x14ac:dyDescent="0.25">
      <c r="B1206" s="434" t="s">
        <v>7</v>
      </c>
      <c r="C1206" s="363" t="s">
        <v>777</v>
      </c>
      <c r="D1206" s="434" t="s">
        <v>214</v>
      </c>
      <c r="E1206" s="434" t="s">
        <v>778</v>
      </c>
      <c r="F1206" s="499" t="s">
        <v>1311</v>
      </c>
      <c r="G1206" s="499"/>
      <c r="H1206" s="364" t="s">
        <v>22</v>
      </c>
      <c r="I1206" s="365">
        <v>1</v>
      </c>
      <c r="J1206" s="366">
        <v>668.91</v>
      </c>
      <c r="K1206" s="366">
        <v>668.91</v>
      </c>
    </row>
    <row r="1207" spans="2:11" ht="38.25" x14ac:dyDescent="0.25">
      <c r="B1207" s="430" t="s">
        <v>189</v>
      </c>
      <c r="C1207" s="367" t="s">
        <v>271</v>
      </c>
      <c r="D1207" s="430" t="s">
        <v>31</v>
      </c>
      <c r="E1207" s="430" t="s">
        <v>272</v>
      </c>
      <c r="F1207" s="497" t="s">
        <v>188</v>
      </c>
      <c r="G1207" s="497"/>
      <c r="H1207" s="368" t="s">
        <v>32</v>
      </c>
      <c r="I1207" s="369">
        <v>2.1</v>
      </c>
      <c r="J1207" s="370">
        <v>29.08</v>
      </c>
      <c r="K1207" s="370">
        <v>61.06</v>
      </c>
    </row>
    <row r="1208" spans="2:11" ht="27.95" customHeight="1" x14ac:dyDescent="0.25">
      <c r="B1208" s="430" t="s">
        <v>189</v>
      </c>
      <c r="C1208" s="367" t="s">
        <v>222</v>
      </c>
      <c r="D1208" s="430" t="s">
        <v>31</v>
      </c>
      <c r="E1208" s="430" t="s">
        <v>223</v>
      </c>
      <c r="F1208" s="497" t="s">
        <v>188</v>
      </c>
      <c r="G1208" s="497"/>
      <c r="H1208" s="368" t="s">
        <v>32</v>
      </c>
      <c r="I1208" s="369">
        <v>2.1</v>
      </c>
      <c r="J1208" s="370">
        <v>18.12</v>
      </c>
      <c r="K1208" s="370">
        <v>38.049999999999997</v>
      </c>
    </row>
    <row r="1209" spans="2:11" ht="27.95" customHeight="1" x14ac:dyDescent="0.25">
      <c r="B1209" s="431" t="s">
        <v>190</v>
      </c>
      <c r="C1209" s="371" t="s">
        <v>854</v>
      </c>
      <c r="D1209" s="431" t="s">
        <v>214</v>
      </c>
      <c r="E1209" s="431" t="s">
        <v>855</v>
      </c>
      <c r="F1209" s="500" t="s">
        <v>199</v>
      </c>
      <c r="G1209" s="500"/>
      <c r="H1209" s="372" t="s">
        <v>22</v>
      </c>
      <c r="I1209" s="373">
        <v>1</v>
      </c>
      <c r="J1209" s="374">
        <v>569.79999999999995</v>
      </c>
      <c r="K1209" s="374">
        <v>569.79999999999995</v>
      </c>
    </row>
    <row r="1210" spans="2:11" ht="14.1" customHeight="1" x14ac:dyDescent="0.25">
      <c r="B1210" s="432"/>
      <c r="C1210" s="432"/>
      <c r="D1210" s="432"/>
      <c r="E1210" s="432"/>
      <c r="F1210" s="432"/>
      <c r="G1210" s="375"/>
      <c r="H1210" s="432"/>
      <c r="I1210" s="375"/>
      <c r="J1210" s="375"/>
      <c r="K1210"/>
    </row>
    <row r="1211" spans="2:11" ht="15" x14ac:dyDescent="0.25">
      <c r="B1211" s="432"/>
      <c r="C1211" s="432"/>
      <c r="D1211" s="432"/>
      <c r="E1211" s="432"/>
      <c r="F1211" s="432"/>
      <c r="G1211" s="375"/>
      <c r="H1211" s="432"/>
      <c r="I1211" s="432"/>
      <c r="J1211" s="375"/>
      <c r="K1211"/>
    </row>
    <row r="1212" spans="2:11" ht="27" customHeight="1" x14ac:dyDescent="0.25">
      <c r="B1212" s="433" t="s">
        <v>1650</v>
      </c>
      <c r="C1212" s="361" t="s">
        <v>0</v>
      </c>
      <c r="D1212" s="433" t="s">
        <v>185</v>
      </c>
      <c r="E1212" s="433" t="s">
        <v>83</v>
      </c>
      <c r="F1212" s="498" t="s">
        <v>1</v>
      </c>
      <c r="G1212" s="498"/>
      <c r="H1212" s="362" t="s">
        <v>3</v>
      </c>
      <c r="I1212" s="361" t="s">
        <v>186</v>
      </c>
      <c r="J1212" s="361" t="s">
        <v>187</v>
      </c>
      <c r="K1212" s="361" t="s">
        <v>4</v>
      </c>
    </row>
    <row r="1213" spans="2:11" ht="25.5" x14ac:dyDescent="0.25">
      <c r="B1213" s="434" t="s">
        <v>7</v>
      </c>
      <c r="C1213" s="363" t="s">
        <v>779</v>
      </c>
      <c r="D1213" s="434" t="s">
        <v>214</v>
      </c>
      <c r="E1213" s="434" t="s">
        <v>780</v>
      </c>
      <c r="F1213" s="499" t="s">
        <v>1311</v>
      </c>
      <c r="G1213" s="499"/>
      <c r="H1213" s="364" t="s">
        <v>22</v>
      </c>
      <c r="I1213" s="365">
        <v>1</v>
      </c>
      <c r="J1213" s="366">
        <v>67.459999999999994</v>
      </c>
      <c r="K1213" s="366">
        <v>67.459999999999994</v>
      </c>
    </row>
    <row r="1214" spans="2:11" ht="38.25" x14ac:dyDescent="0.25">
      <c r="B1214" s="430" t="s">
        <v>189</v>
      </c>
      <c r="C1214" s="367" t="s">
        <v>218</v>
      </c>
      <c r="D1214" s="430" t="s">
        <v>31</v>
      </c>
      <c r="E1214" s="430" t="s">
        <v>219</v>
      </c>
      <c r="F1214" s="497" t="s">
        <v>188</v>
      </c>
      <c r="G1214" s="497"/>
      <c r="H1214" s="368" t="s">
        <v>32</v>
      </c>
      <c r="I1214" s="369">
        <v>0.2</v>
      </c>
      <c r="J1214" s="370">
        <v>18.48</v>
      </c>
      <c r="K1214" s="370">
        <v>3.69</v>
      </c>
    </row>
    <row r="1215" spans="2:11" x14ac:dyDescent="0.25">
      <c r="B1215" s="431" t="s">
        <v>190</v>
      </c>
      <c r="C1215" s="371" t="s">
        <v>856</v>
      </c>
      <c r="D1215" s="431" t="s">
        <v>214</v>
      </c>
      <c r="E1215" s="431" t="s">
        <v>857</v>
      </c>
      <c r="F1215" s="500" t="s">
        <v>199</v>
      </c>
      <c r="G1215" s="500"/>
      <c r="H1215" s="372" t="s">
        <v>22</v>
      </c>
      <c r="I1215" s="373">
        <v>1</v>
      </c>
      <c r="J1215" s="374">
        <v>63.77</v>
      </c>
      <c r="K1215" s="374">
        <v>63.77</v>
      </c>
    </row>
    <row r="1216" spans="2:11" ht="15" x14ac:dyDescent="0.25">
      <c r="B1216" s="432"/>
      <c r="C1216" s="432"/>
      <c r="D1216" s="432"/>
      <c r="E1216" s="432"/>
      <c r="F1216" s="432"/>
      <c r="G1216" s="375"/>
      <c r="H1216" s="432"/>
      <c r="I1216" s="375"/>
      <c r="J1216" s="375"/>
      <c r="K1216"/>
    </row>
    <row r="1217" spans="2:11" ht="15.75" thickBot="1" x14ac:dyDescent="0.3">
      <c r="B1217" s="432"/>
      <c r="C1217" s="432"/>
      <c r="D1217" s="432"/>
      <c r="E1217" s="432"/>
      <c r="F1217" s="432"/>
      <c r="G1217" s="375"/>
      <c r="H1217" s="432"/>
      <c r="I1217" s="432"/>
      <c r="J1217" s="375"/>
      <c r="K1217"/>
    </row>
    <row r="1218" spans="2:11" ht="13.5" thickTop="1" x14ac:dyDescent="0.25">
      <c r="B1218" s="376"/>
      <c r="C1218" s="376"/>
      <c r="D1218" s="376"/>
      <c r="E1218" s="376"/>
      <c r="F1218" s="376"/>
      <c r="G1218" s="376"/>
      <c r="H1218" s="376"/>
      <c r="I1218" s="376"/>
      <c r="J1218" s="376"/>
      <c r="K1218" s="376"/>
    </row>
    <row r="1219" spans="2:11" ht="21" customHeight="1" x14ac:dyDescent="0.25">
      <c r="B1219" s="433" t="s">
        <v>1651</v>
      </c>
      <c r="C1219" s="361" t="s">
        <v>0</v>
      </c>
      <c r="D1219" s="433" t="s">
        <v>185</v>
      </c>
      <c r="E1219" s="433" t="s">
        <v>83</v>
      </c>
      <c r="F1219" s="498" t="s">
        <v>1</v>
      </c>
      <c r="G1219" s="498"/>
      <c r="H1219" s="362" t="s">
        <v>3</v>
      </c>
      <c r="I1219" s="361" t="s">
        <v>186</v>
      </c>
      <c r="J1219" s="361" t="s">
        <v>187</v>
      </c>
      <c r="K1219" s="361" t="s">
        <v>4</v>
      </c>
    </row>
    <row r="1220" spans="2:11" ht="25.5" x14ac:dyDescent="0.25">
      <c r="B1220" s="434" t="s">
        <v>7</v>
      </c>
      <c r="C1220" s="363" t="s">
        <v>781</v>
      </c>
      <c r="D1220" s="434" t="s">
        <v>31</v>
      </c>
      <c r="E1220" s="434" t="s">
        <v>782</v>
      </c>
      <c r="F1220" s="499" t="s">
        <v>252</v>
      </c>
      <c r="G1220" s="499"/>
      <c r="H1220" s="364" t="s">
        <v>22</v>
      </c>
      <c r="I1220" s="365">
        <v>1</v>
      </c>
      <c r="J1220" s="366">
        <v>900.27</v>
      </c>
      <c r="K1220" s="366">
        <v>900.27</v>
      </c>
    </row>
    <row r="1221" spans="2:11" ht="38.25" x14ac:dyDescent="0.25">
      <c r="B1221" s="430" t="s">
        <v>189</v>
      </c>
      <c r="C1221" s="367" t="s">
        <v>218</v>
      </c>
      <c r="D1221" s="430" t="s">
        <v>31</v>
      </c>
      <c r="E1221" s="430" t="s">
        <v>219</v>
      </c>
      <c r="F1221" s="497" t="s">
        <v>188</v>
      </c>
      <c r="G1221" s="497"/>
      <c r="H1221" s="368" t="s">
        <v>32</v>
      </c>
      <c r="I1221" s="369">
        <v>6.2007000000000003</v>
      </c>
      <c r="J1221" s="370">
        <v>18.48</v>
      </c>
      <c r="K1221" s="370">
        <v>114.58</v>
      </c>
    </row>
    <row r="1222" spans="2:11" ht="38.25" x14ac:dyDescent="0.25">
      <c r="B1222" s="430" t="s">
        <v>189</v>
      </c>
      <c r="C1222" s="367" t="s">
        <v>220</v>
      </c>
      <c r="D1222" s="430" t="s">
        <v>31</v>
      </c>
      <c r="E1222" s="430" t="s">
        <v>221</v>
      </c>
      <c r="F1222" s="497" t="s">
        <v>188</v>
      </c>
      <c r="G1222" s="497"/>
      <c r="H1222" s="368" t="s">
        <v>32</v>
      </c>
      <c r="I1222" s="369">
        <v>6.2007000000000003</v>
      </c>
      <c r="J1222" s="370">
        <v>22.58</v>
      </c>
      <c r="K1222" s="370">
        <v>140.01</v>
      </c>
    </row>
    <row r="1223" spans="2:11" ht="38.25" x14ac:dyDescent="0.25">
      <c r="B1223" s="431" t="s">
        <v>190</v>
      </c>
      <c r="C1223" s="371" t="s">
        <v>858</v>
      </c>
      <c r="D1223" s="431" t="s">
        <v>31</v>
      </c>
      <c r="E1223" s="431" t="s">
        <v>859</v>
      </c>
      <c r="F1223" s="500" t="s">
        <v>199</v>
      </c>
      <c r="G1223" s="500"/>
      <c r="H1223" s="372" t="s">
        <v>22</v>
      </c>
      <c r="I1223" s="373">
        <v>1</v>
      </c>
      <c r="J1223" s="374">
        <v>645.67999999999995</v>
      </c>
      <c r="K1223" s="374">
        <v>645.67999999999995</v>
      </c>
    </row>
    <row r="1224" spans="2:11" ht="15" x14ac:dyDescent="0.25">
      <c r="B1224" s="432"/>
      <c r="C1224" s="432"/>
      <c r="D1224" s="432"/>
      <c r="E1224" s="432"/>
      <c r="F1224" s="432"/>
      <c r="G1224" s="375"/>
      <c r="H1224" s="432"/>
      <c r="I1224" s="375"/>
      <c r="J1224" s="375"/>
      <c r="K1224"/>
    </row>
    <row r="1225" spans="2:11" ht="15.75" thickBot="1" x14ac:dyDescent="0.3">
      <c r="B1225" s="432"/>
      <c r="C1225" s="432"/>
      <c r="D1225" s="432"/>
      <c r="E1225" s="432"/>
      <c r="F1225" s="432"/>
      <c r="G1225" s="375"/>
      <c r="H1225" s="432"/>
      <c r="I1225" s="432"/>
      <c r="J1225" s="375"/>
      <c r="K1225"/>
    </row>
    <row r="1226" spans="2:11" ht="13.5" thickTop="1" x14ac:dyDescent="0.25">
      <c r="B1226" s="376"/>
      <c r="C1226" s="376"/>
      <c r="D1226" s="376"/>
      <c r="E1226" s="376"/>
      <c r="F1226" s="376"/>
      <c r="G1226" s="376"/>
      <c r="H1226" s="376"/>
      <c r="I1226" s="376"/>
      <c r="J1226" s="376"/>
      <c r="K1226" s="376"/>
    </row>
    <row r="1227" spans="2:11" ht="24" customHeight="1" x14ac:dyDescent="0.25">
      <c r="B1227" s="433" t="s">
        <v>1652</v>
      </c>
      <c r="C1227" s="361" t="s">
        <v>0</v>
      </c>
      <c r="D1227" s="433" t="s">
        <v>185</v>
      </c>
      <c r="E1227" s="433" t="s">
        <v>83</v>
      </c>
      <c r="F1227" s="498" t="s">
        <v>1</v>
      </c>
      <c r="G1227" s="498"/>
      <c r="H1227" s="362" t="s">
        <v>3</v>
      </c>
      <c r="I1227" s="361" t="s">
        <v>186</v>
      </c>
      <c r="J1227" s="361" t="s">
        <v>187</v>
      </c>
      <c r="K1227" s="361" t="s">
        <v>4</v>
      </c>
    </row>
    <row r="1228" spans="2:11" ht="25.5" x14ac:dyDescent="0.25">
      <c r="B1228" s="434" t="s">
        <v>7</v>
      </c>
      <c r="C1228" s="363" t="s">
        <v>783</v>
      </c>
      <c r="D1228" s="434" t="s">
        <v>214</v>
      </c>
      <c r="E1228" s="434" t="s">
        <v>784</v>
      </c>
      <c r="F1228" s="499" t="s">
        <v>1311</v>
      </c>
      <c r="G1228" s="499"/>
      <c r="H1228" s="364" t="s">
        <v>22</v>
      </c>
      <c r="I1228" s="365">
        <v>1</v>
      </c>
      <c r="J1228" s="366">
        <v>99.19</v>
      </c>
      <c r="K1228" s="366">
        <v>99.19</v>
      </c>
    </row>
    <row r="1229" spans="2:11" ht="38.25" x14ac:dyDescent="0.25">
      <c r="B1229" s="430" t="s">
        <v>189</v>
      </c>
      <c r="C1229" s="367" t="s">
        <v>218</v>
      </c>
      <c r="D1229" s="430" t="s">
        <v>31</v>
      </c>
      <c r="E1229" s="430" t="s">
        <v>219</v>
      </c>
      <c r="F1229" s="497" t="s">
        <v>188</v>
      </c>
      <c r="G1229" s="497"/>
      <c r="H1229" s="368" t="s">
        <v>32</v>
      </c>
      <c r="I1229" s="369">
        <v>0.2</v>
      </c>
      <c r="J1229" s="370">
        <v>18.48</v>
      </c>
      <c r="K1229" s="370">
        <v>3.69</v>
      </c>
    </row>
    <row r="1230" spans="2:11" x14ac:dyDescent="0.25">
      <c r="B1230" s="431" t="s">
        <v>190</v>
      </c>
      <c r="C1230" s="371" t="s">
        <v>860</v>
      </c>
      <c r="D1230" s="431" t="s">
        <v>214</v>
      </c>
      <c r="E1230" s="431" t="s">
        <v>861</v>
      </c>
      <c r="F1230" s="500" t="s">
        <v>199</v>
      </c>
      <c r="G1230" s="500"/>
      <c r="H1230" s="372" t="s">
        <v>22</v>
      </c>
      <c r="I1230" s="373">
        <v>1</v>
      </c>
      <c r="J1230" s="374">
        <v>95.5</v>
      </c>
      <c r="K1230" s="374">
        <v>95.5</v>
      </c>
    </row>
    <row r="1231" spans="2:11" ht="15" x14ac:dyDescent="0.25">
      <c r="B1231" s="432"/>
      <c r="C1231" s="432"/>
      <c r="D1231" s="432"/>
      <c r="E1231" s="432"/>
      <c r="F1231" s="432"/>
      <c r="G1231" s="375"/>
      <c r="H1231" s="432"/>
      <c r="I1231" s="375"/>
      <c r="J1231" s="375"/>
      <c r="K1231"/>
    </row>
    <row r="1232" spans="2:11" ht="15.75" thickBot="1" x14ac:dyDescent="0.3">
      <c r="B1232" s="432"/>
      <c r="C1232" s="432"/>
      <c r="D1232" s="432"/>
      <c r="E1232" s="432"/>
      <c r="F1232" s="432"/>
      <c r="G1232" s="375"/>
      <c r="H1232" s="432"/>
      <c r="I1232" s="432"/>
      <c r="J1232" s="375"/>
      <c r="K1232"/>
    </row>
    <row r="1233" spans="2:11" ht="13.5" thickTop="1" x14ac:dyDescent="0.25">
      <c r="B1233" s="376"/>
      <c r="C1233" s="376"/>
      <c r="D1233" s="376"/>
      <c r="E1233" s="376"/>
      <c r="F1233" s="376"/>
      <c r="G1233" s="376"/>
      <c r="H1233" s="376"/>
      <c r="I1233" s="376"/>
      <c r="J1233" s="376"/>
      <c r="K1233" s="376"/>
    </row>
    <row r="1234" spans="2:11" ht="22.7" customHeight="1" x14ac:dyDescent="0.25">
      <c r="B1234" s="433" t="s">
        <v>1653</v>
      </c>
      <c r="C1234" s="361" t="s">
        <v>0</v>
      </c>
      <c r="D1234" s="433" t="s">
        <v>185</v>
      </c>
      <c r="E1234" s="433" t="s">
        <v>83</v>
      </c>
      <c r="F1234" s="498" t="s">
        <v>1</v>
      </c>
      <c r="G1234" s="498"/>
      <c r="H1234" s="362" t="s">
        <v>3</v>
      </c>
      <c r="I1234" s="361" t="s">
        <v>186</v>
      </c>
      <c r="J1234" s="361" t="s">
        <v>187</v>
      </c>
      <c r="K1234" s="361" t="s">
        <v>4</v>
      </c>
    </row>
    <row r="1235" spans="2:11" ht="25.5" x14ac:dyDescent="0.25">
      <c r="B1235" s="434" t="s">
        <v>7</v>
      </c>
      <c r="C1235" s="363" t="s">
        <v>1357</v>
      </c>
      <c r="D1235" s="434" t="s">
        <v>214</v>
      </c>
      <c r="E1235" s="434" t="s">
        <v>1358</v>
      </c>
      <c r="F1235" s="499" t="s">
        <v>1311</v>
      </c>
      <c r="G1235" s="499"/>
      <c r="H1235" s="364" t="s">
        <v>22</v>
      </c>
      <c r="I1235" s="365">
        <v>1</v>
      </c>
      <c r="J1235" s="366">
        <v>1134.55</v>
      </c>
      <c r="K1235" s="366">
        <v>1134.55</v>
      </c>
    </row>
    <row r="1236" spans="2:11" ht="38.25" x14ac:dyDescent="0.25">
      <c r="B1236" s="430" t="s">
        <v>189</v>
      </c>
      <c r="C1236" s="367" t="s">
        <v>220</v>
      </c>
      <c r="D1236" s="430" t="s">
        <v>31</v>
      </c>
      <c r="E1236" s="430" t="s">
        <v>221</v>
      </c>
      <c r="F1236" s="497" t="s">
        <v>188</v>
      </c>
      <c r="G1236" s="497"/>
      <c r="H1236" s="368" t="s">
        <v>32</v>
      </c>
      <c r="I1236" s="369">
        <v>2.0619999999999998</v>
      </c>
      <c r="J1236" s="370">
        <v>22.58</v>
      </c>
      <c r="K1236" s="370">
        <v>46.55</v>
      </c>
    </row>
    <row r="1237" spans="2:11" ht="38.25" x14ac:dyDescent="0.25">
      <c r="B1237" s="430" t="s">
        <v>189</v>
      </c>
      <c r="C1237" s="367" t="s">
        <v>218</v>
      </c>
      <c r="D1237" s="430" t="s">
        <v>31</v>
      </c>
      <c r="E1237" s="430" t="s">
        <v>219</v>
      </c>
      <c r="F1237" s="497" t="s">
        <v>188</v>
      </c>
      <c r="G1237" s="497"/>
      <c r="H1237" s="368" t="s">
        <v>32</v>
      </c>
      <c r="I1237" s="369">
        <v>2.0619999999999998</v>
      </c>
      <c r="J1237" s="370">
        <v>18.48</v>
      </c>
      <c r="K1237" s="370">
        <v>38.1</v>
      </c>
    </row>
    <row r="1238" spans="2:11" x14ac:dyDescent="0.25">
      <c r="B1238" s="431" t="s">
        <v>190</v>
      </c>
      <c r="C1238" s="371" t="s">
        <v>1368</v>
      </c>
      <c r="D1238" s="431" t="s">
        <v>214</v>
      </c>
      <c r="E1238" s="431" t="s">
        <v>1369</v>
      </c>
      <c r="F1238" s="500" t="s">
        <v>199</v>
      </c>
      <c r="G1238" s="500"/>
      <c r="H1238" s="372" t="s">
        <v>22</v>
      </c>
      <c r="I1238" s="373">
        <v>1</v>
      </c>
      <c r="J1238" s="374">
        <v>1049.9000000000001</v>
      </c>
      <c r="K1238" s="374">
        <v>1049.9000000000001</v>
      </c>
    </row>
    <row r="1239" spans="2:11" ht="15" x14ac:dyDescent="0.25">
      <c r="B1239" s="432"/>
      <c r="C1239" s="432"/>
      <c r="D1239" s="432"/>
      <c r="E1239" s="432"/>
      <c r="F1239" s="432"/>
      <c r="G1239" s="375"/>
      <c r="H1239" s="432"/>
      <c r="I1239" s="375"/>
      <c r="J1239" s="375"/>
      <c r="K1239"/>
    </row>
    <row r="1240" spans="2:11" ht="15.75" thickBot="1" x14ac:dyDescent="0.3">
      <c r="B1240" s="432"/>
      <c r="C1240" s="432"/>
      <c r="D1240" s="432"/>
      <c r="E1240" s="432"/>
      <c r="F1240" s="432"/>
      <c r="G1240" s="375"/>
      <c r="H1240" s="432"/>
      <c r="I1240" s="432"/>
      <c r="J1240" s="375"/>
      <c r="K1240"/>
    </row>
    <row r="1241" spans="2:11" ht="13.5" thickTop="1" x14ac:dyDescent="0.25">
      <c r="B1241" s="376"/>
      <c r="C1241" s="376"/>
      <c r="D1241" s="376"/>
      <c r="E1241" s="376"/>
      <c r="F1241" s="376"/>
      <c r="G1241" s="376"/>
      <c r="H1241" s="376"/>
      <c r="I1241" s="376"/>
      <c r="J1241" s="376"/>
      <c r="K1241" s="376"/>
    </row>
    <row r="1242" spans="2:11" ht="22.35" customHeight="1" x14ac:dyDescent="0.25">
      <c r="B1242" s="433" t="s">
        <v>1654</v>
      </c>
      <c r="C1242" s="361" t="s">
        <v>0</v>
      </c>
      <c r="D1242" s="433" t="s">
        <v>185</v>
      </c>
      <c r="E1242" s="433" t="s">
        <v>83</v>
      </c>
      <c r="F1242" s="498" t="s">
        <v>1</v>
      </c>
      <c r="G1242" s="498"/>
      <c r="H1242" s="362" t="s">
        <v>3</v>
      </c>
      <c r="I1242" s="361" t="s">
        <v>186</v>
      </c>
      <c r="J1242" s="361" t="s">
        <v>187</v>
      </c>
      <c r="K1242" s="361" t="s">
        <v>4</v>
      </c>
    </row>
    <row r="1243" spans="2:11" ht="25.5" x14ac:dyDescent="0.25">
      <c r="B1243" s="434" t="s">
        <v>7</v>
      </c>
      <c r="C1243" s="363" t="s">
        <v>1041</v>
      </c>
      <c r="D1243" s="434" t="s">
        <v>125</v>
      </c>
      <c r="E1243" s="434" t="s">
        <v>1042</v>
      </c>
      <c r="F1243" s="499" t="s">
        <v>217</v>
      </c>
      <c r="G1243" s="499"/>
      <c r="H1243" s="364" t="s">
        <v>22</v>
      </c>
      <c r="I1243" s="365">
        <v>1</v>
      </c>
      <c r="J1243" s="366">
        <v>114.33</v>
      </c>
      <c r="K1243" s="366">
        <v>114.33</v>
      </c>
    </row>
    <row r="1244" spans="2:11" ht="38.25" x14ac:dyDescent="0.25">
      <c r="B1244" s="430" t="s">
        <v>189</v>
      </c>
      <c r="C1244" s="367" t="s">
        <v>220</v>
      </c>
      <c r="D1244" s="430" t="s">
        <v>31</v>
      </c>
      <c r="E1244" s="430" t="s">
        <v>221</v>
      </c>
      <c r="F1244" s="497" t="s">
        <v>188</v>
      </c>
      <c r="G1244" s="497"/>
      <c r="H1244" s="368" t="s">
        <v>32</v>
      </c>
      <c r="I1244" s="369">
        <v>0.1</v>
      </c>
      <c r="J1244" s="370">
        <v>22.58</v>
      </c>
      <c r="K1244" s="370">
        <v>2.25</v>
      </c>
    </row>
    <row r="1245" spans="2:11" ht="38.25" x14ac:dyDescent="0.25">
      <c r="B1245" s="430" t="s">
        <v>189</v>
      </c>
      <c r="C1245" s="367" t="s">
        <v>218</v>
      </c>
      <c r="D1245" s="430" t="s">
        <v>31</v>
      </c>
      <c r="E1245" s="430" t="s">
        <v>219</v>
      </c>
      <c r="F1245" s="497" t="s">
        <v>188</v>
      </c>
      <c r="G1245" s="497"/>
      <c r="H1245" s="368" t="s">
        <v>32</v>
      </c>
      <c r="I1245" s="369">
        <v>0.1</v>
      </c>
      <c r="J1245" s="370">
        <v>18.48</v>
      </c>
      <c r="K1245" s="370">
        <v>1.84</v>
      </c>
    </row>
    <row r="1246" spans="2:11" x14ac:dyDescent="0.25">
      <c r="B1246" s="431" t="s">
        <v>190</v>
      </c>
      <c r="C1246" s="371" t="s">
        <v>1236</v>
      </c>
      <c r="D1246" s="431" t="s">
        <v>125</v>
      </c>
      <c r="E1246" s="431" t="s">
        <v>1237</v>
      </c>
      <c r="F1246" s="500" t="s">
        <v>199</v>
      </c>
      <c r="G1246" s="500"/>
      <c r="H1246" s="372" t="s">
        <v>22</v>
      </c>
      <c r="I1246" s="373">
        <v>1</v>
      </c>
      <c r="J1246" s="374">
        <v>110.24</v>
      </c>
      <c r="K1246" s="374">
        <v>110.24</v>
      </c>
    </row>
    <row r="1247" spans="2:11" ht="15" x14ac:dyDescent="0.25">
      <c r="B1247" s="432"/>
      <c r="C1247" s="432"/>
      <c r="D1247" s="432"/>
      <c r="E1247" s="432"/>
      <c r="F1247" s="432"/>
      <c r="G1247" s="375"/>
      <c r="H1247" s="432"/>
      <c r="I1247" s="375"/>
      <c r="J1247" s="375"/>
      <c r="K1247"/>
    </row>
    <row r="1248" spans="2:11" ht="15.75" thickBot="1" x14ac:dyDescent="0.3">
      <c r="B1248" s="432"/>
      <c r="C1248" s="432"/>
      <c r="D1248" s="432"/>
      <c r="E1248" s="432"/>
      <c r="F1248" s="432"/>
      <c r="G1248" s="375"/>
      <c r="H1248" s="432"/>
      <c r="I1248" s="432"/>
      <c r="J1248" s="375"/>
      <c r="K1248"/>
    </row>
    <row r="1249" spans="2:11" ht="13.5" thickTop="1" x14ac:dyDescent="0.25">
      <c r="B1249" s="376"/>
      <c r="C1249" s="376"/>
      <c r="D1249" s="376"/>
      <c r="E1249" s="376"/>
      <c r="F1249" s="376"/>
      <c r="G1249" s="376"/>
      <c r="H1249" s="376"/>
      <c r="I1249" s="376"/>
      <c r="J1249" s="376"/>
      <c r="K1249" s="376"/>
    </row>
    <row r="1250" spans="2:11" ht="24.6" customHeight="1" x14ac:dyDescent="0.25">
      <c r="B1250" s="433" t="s">
        <v>1655</v>
      </c>
      <c r="C1250" s="361" t="s">
        <v>0</v>
      </c>
      <c r="D1250" s="433" t="s">
        <v>185</v>
      </c>
      <c r="E1250" s="433" t="s">
        <v>83</v>
      </c>
      <c r="F1250" s="498" t="s">
        <v>1</v>
      </c>
      <c r="G1250" s="498"/>
      <c r="H1250" s="362" t="s">
        <v>3</v>
      </c>
      <c r="I1250" s="361" t="s">
        <v>186</v>
      </c>
      <c r="J1250" s="361" t="s">
        <v>187</v>
      </c>
      <c r="K1250" s="361" t="s">
        <v>4</v>
      </c>
    </row>
    <row r="1251" spans="2:11" ht="25.5" x14ac:dyDescent="0.25">
      <c r="B1251" s="434" t="s">
        <v>7</v>
      </c>
      <c r="C1251" s="363" t="s">
        <v>1043</v>
      </c>
      <c r="D1251" s="434" t="s">
        <v>905</v>
      </c>
      <c r="E1251" s="434" t="s">
        <v>1044</v>
      </c>
      <c r="F1251" s="499">
        <v>7</v>
      </c>
      <c r="G1251" s="499"/>
      <c r="H1251" s="364" t="s">
        <v>847</v>
      </c>
      <c r="I1251" s="365">
        <v>1</v>
      </c>
      <c r="J1251" s="366">
        <v>26.12</v>
      </c>
      <c r="K1251" s="366">
        <v>26.12</v>
      </c>
    </row>
    <row r="1252" spans="2:11" ht="25.5" x14ac:dyDescent="0.25">
      <c r="B1252" s="431" t="s">
        <v>190</v>
      </c>
      <c r="C1252" s="371" t="s">
        <v>1238</v>
      </c>
      <c r="D1252" s="431" t="s">
        <v>905</v>
      </c>
      <c r="E1252" s="431" t="s">
        <v>1239</v>
      </c>
      <c r="F1252" s="500" t="s">
        <v>199</v>
      </c>
      <c r="G1252" s="500"/>
      <c r="H1252" s="372" t="s">
        <v>227</v>
      </c>
      <c r="I1252" s="373">
        <v>1</v>
      </c>
      <c r="J1252" s="374">
        <v>22.12</v>
      </c>
      <c r="K1252" s="374">
        <v>22.12</v>
      </c>
    </row>
    <row r="1253" spans="2:11" ht="25.5" x14ac:dyDescent="0.25">
      <c r="B1253" s="431" t="s">
        <v>190</v>
      </c>
      <c r="C1253" s="371" t="s">
        <v>1134</v>
      </c>
      <c r="D1253" s="431" t="s">
        <v>905</v>
      </c>
      <c r="E1253" s="431" t="s">
        <v>1135</v>
      </c>
      <c r="F1253" s="500" t="s">
        <v>191</v>
      </c>
      <c r="G1253" s="500"/>
      <c r="H1253" s="372" t="s">
        <v>1126</v>
      </c>
      <c r="I1253" s="373">
        <v>0.13</v>
      </c>
      <c r="J1253" s="374">
        <v>12.31</v>
      </c>
      <c r="K1253" s="374">
        <v>1.6</v>
      </c>
    </row>
    <row r="1254" spans="2:11" ht="25.5" x14ac:dyDescent="0.25">
      <c r="B1254" s="431" t="s">
        <v>190</v>
      </c>
      <c r="C1254" s="371" t="s">
        <v>1136</v>
      </c>
      <c r="D1254" s="431" t="s">
        <v>905</v>
      </c>
      <c r="E1254" s="431" t="s">
        <v>225</v>
      </c>
      <c r="F1254" s="500" t="s">
        <v>191</v>
      </c>
      <c r="G1254" s="500"/>
      <c r="H1254" s="372" t="s">
        <v>1126</v>
      </c>
      <c r="I1254" s="373">
        <v>0.13</v>
      </c>
      <c r="J1254" s="374">
        <v>18.510000000000002</v>
      </c>
      <c r="K1254" s="374">
        <v>2.4</v>
      </c>
    </row>
    <row r="1255" spans="2:11" ht="15" x14ac:dyDescent="0.25">
      <c r="B1255" s="432"/>
      <c r="C1255" s="432"/>
      <c r="D1255" s="432"/>
      <c r="E1255" s="432"/>
      <c r="F1255" s="432"/>
      <c r="G1255" s="375"/>
      <c r="H1255" s="432"/>
      <c r="I1255" s="375"/>
      <c r="J1255" s="375"/>
      <c r="K1255"/>
    </row>
    <row r="1256" spans="2:11" ht="15.75" thickBot="1" x14ac:dyDescent="0.3">
      <c r="B1256" s="432"/>
      <c r="C1256" s="432"/>
      <c r="D1256" s="432"/>
      <c r="E1256" s="432"/>
      <c r="F1256" s="432"/>
      <c r="G1256" s="375"/>
      <c r="H1256" s="432"/>
      <c r="I1256" s="432"/>
      <c r="J1256" s="375"/>
      <c r="K1256"/>
    </row>
    <row r="1257" spans="2:11" ht="13.5" thickTop="1" x14ac:dyDescent="0.25">
      <c r="B1257" s="376"/>
      <c r="C1257" s="376"/>
      <c r="D1257" s="376"/>
      <c r="E1257" s="376"/>
      <c r="F1257" s="376"/>
      <c r="G1257" s="376"/>
      <c r="H1257" s="376"/>
      <c r="I1257" s="376"/>
      <c r="J1257" s="376"/>
      <c r="K1257" s="376"/>
    </row>
    <row r="1258" spans="2:11" ht="25.35" customHeight="1" x14ac:dyDescent="0.25">
      <c r="B1258" s="433" t="s">
        <v>1656</v>
      </c>
      <c r="C1258" s="361" t="s">
        <v>0</v>
      </c>
      <c r="D1258" s="433" t="s">
        <v>185</v>
      </c>
      <c r="E1258" s="433" t="s">
        <v>83</v>
      </c>
      <c r="F1258" s="498" t="s">
        <v>1</v>
      </c>
      <c r="G1258" s="498"/>
      <c r="H1258" s="362" t="s">
        <v>3</v>
      </c>
      <c r="I1258" s="361" t="s">
        <v>186</v>
      </c>
      <c r="J1258" s="361" t="s">
        <v>187</v>
      </c>
      <c r="K1258" s="361" t="s">
        <v>4</v>
      </c>
    </row>
    <row r="1259" spans="2:11" ht="38.25" x14ac:dyDescent="0.25">
      <c r="B1259" s="434" t="s">
        <v>7</v>
      </c>
      <c r="C1259" s="363" t="s">
        <v>1045</v>
      </c>
      <c r="D1259" s="434" t="s">
        <v>267</v>
      </c>
      <c r="E1259" s="434" t="s">
        <v>1046</v>
      </c>
      <c r="F1259" s="499">
        <v>69.03</v>
      </c>
      <c r="G1259" s="499"/>
      <c r="H1259" s="364" t="s">
        <v>22</v>
      </c>
      <c r="I1259" s="365">
        <v>1</v>
      </c>
      <c r="J1259" s="366">
        <v>43.18</v>
      </c>
      <c r="K1259" s="366">
        <v>43.18</v>
      </c>
    </row>
    <row r="1260" spans="2:11" ht="38.25" x14ac:dyDescent="0.25">
      <c r="B1260" s="431" t="s">
        <v>190</v>
      </c>
      <c r="C1260" s="371" t="s">
        <v>1160</v>
      </c>
      <c r="D1260" s="431" t="s">
        <v>267</v>
      </c>
      <c r="E1260" s="431" t="s">
        <v>1161</v>
      </c>
      <c r="F1260" s="500" t="s">
        <v>191</v>
      </c>
      <c r="G1260" s="500"/>
      <c r="H1260" s="372" t="s">
        <v>32</v>
      </c>
      <c r="I1260" s="373">
        <v>0.15</v>
      </c>
      <c r="J1260" s="374">
        <v>25.22</v>
      </c>
      <c r="K1260" s="374">
        <v>3.78</v>
      </c>
    </row>
    <row r="1261" spans="2:11" ht="38.25" x14ac:dyDescent="0.25">
      <c r="B1261" s="431" t="s">
        <v>190</v>
      </c>
      <c r="C1261" s="371" t="s">
        <v>1162</v>
      </c>
      <c r="D1261" s="431" t="s">
        <v>267</v>
      </c>
      <c r="E1261" s="431" t="s">
        <v>1163</v>
      </c>
      <c r="F1261" s="500" t="s">
        <v>191</v>
      </c>
      <c r="G1261" s="500"/>
      <c r="H1261" s="372" t="s">
        <v>32</v>
      </c>
      <c r="I1261" s="373">
        <v>0.15</v>
      </c>
      <c r="J1261" s="374">
        <v>16.739999999999998</v>
      </c>
      <c r="K1261" s="374">
        <v>2.5099999999999998</v>
      </c>
    </row>
    <row r="1262" spans="2:11" ht="38.25" x14ac:dyDescent="0.25">
      <c r="B1262" s="431" t="s">
        <v>190</v>
      </c>
      <c r="C1262" s="371" t="s">
        <v>1240</v>
      </c>
      <c r="D1262" s="431" t="s">
        <v>267</v>
      </c>
      <c r="E1262" s="431" t="s">
        <v>1241</v>
      </c>
      <c r="F1262" s="500" t="s">
        <v>199</v>
      </c>
      <c r="G1262" s="500"/>
      <c r="H1262" s="372" t="s">
        <v>22</v>
      </c>
      <c r="I1262" s="373">
        <v>1</v>
      </c>
      <c r="J1262" s="374">
        <v>36.89</v>
      </c>
      <c r="K1262" s="374">
        <v>36.89</v>
      </c>
    </row>
    <row r="1263" spans="2:11" ht="15" x14ac:dyDescent="0.25">
      <c r="B1263" s="432"/>
      <c r="C1263" s="432"/>
      <c r="D1263" s="432"/>
      <c r="E1263" s="432"/>
      <c r="F1263" s="432"/>
      <c r="G1263" s="375"/>
      <c r="H1263" s="432"/>
      <c r="I1263" s="375"/>
      <c r="J1263" s="375"/>
      <c r="K1263"/>
    </row>
    <row r="1264" spans="2:11" ht="15.75" thickBot="1" x14ac:dyDescent="0.3">
      <c r="B1264" s="432"/>
      <c r="C1264" s="432"/>
      <c r="D1264" s="432"/>
      <c r="E1264" s="432"/>
      <c r="F1264" s="432"/>
      <c r="G1264" s="375"/>
      <c r="H1264" s="432"/>
      <c r="I1264" s="432"/>
      <c r="J1264" s="375"/>
      <c r="K1264"/>
    </row>
    <row r="1265" spans="2:11" ht="13.5" thickTop="1" x14ac:dyDescent="0.25">
      <c r="B1265" s="376"/>
      <c r="C1265" s="376"/>
      <c r="D1265" s="376"/>
      <c r="E1265" s="376"/>
      <c r="F1265" s="376"/>
      <c r="G1265" s="376"/>
      <c r="H1265" s="376"/>
      <c r="I1265" s="376"/>
      <c r="J1265" s="376"/>
      <c r="K1265" s="376"/>
    </row>
    <row r="1266" spans="2:11" ht="23.45" customHeight="1" x14ac:dyDescent="0.25">
      <c r="B1266" s="433" t="s">
        <v>1657</v>
      </c>
      <c r="C1266" s="361" t="s">
        <v>0</v>
      </c>
      <c r="D1266" s="433" t="s">
        <v>185</v>
      </c>
      <c r="E1266" s="433" t="s">
        <v>83</v>
      </c>
      <c r="F1266" s="498" t="s">
        <v>1</v>
      </c>
      <c r="G1266" s="498"/>
      <c r="H1266" s="362" t="s">
        <v>3</v>
      </c>
      <c r="I1266" s="361" t="s">
        <v>186</v>
      </c>
      <c r="J1266" s="361" t="s">
        <v>187</v>
      </c>
      <c r="K1266" s="361" t="s">
        <v>4</v>
      </c>
    </row>
    <row r="1267" spans="2:11" ht="63.75" x14ac:dyDescent="0.25">
      <c r="B1267" s="434" t="s">
        <v>7</v>
      </c>
      <c r="C1267" s="363" t="s">
        <v>1251</v>
      </c>
      <c r="D1267" s="434" t="s">
        <v>125</v>
      </c>
      <c r="E1267" s="434" t="s">
        <v>1252</v>
      </c>
      <c r="F1267" s="499" t="s">
        <v>1318</v>
      </c>
      <c r="G1267" s="499"/>
      <c r="H1267" s="364" t="s">
        <v>22</v>
      </c>
      <c r="I1267" s="365">
        <v>1</v>
      </c>
      <c r="J1267" s="366">
        <v>10.1</v>
      </c>
      <c r="K1267" s="366">
        <v>10.1</v>
      </c>
    </row>
    <row r="1268" spans="2:11" ht="38.25" x14ac:dyDescent="0.25">
      <c r="B1268" s="430" t="s">
        <v>189</v>
      </c>
      <c r="C1268" s="367" t="s">
        <v>220</v>
      </c>
      <c r="D1268" s="430" t="s">
        <v>31</v>
      </c>
      <c r="E1268" s="430" t="s">
        <v>221</v>
      </c>
      <c r="F1268" s="497" t="s">
        <v>188</v>
      </c>
      <c r="G1268" s="497"/>
      <c r="H1268" s="368" t="s">
        <v>32</v>
      </c>
      <c r="I1268" s="369">
        <v>0.1</v>
      </c>
      <c r="J1268" s="370">
        <v>22.58</v>
      </c>
      <c r="K1268" s="370">
        <v>2.25</v>
      </c>
    </row>
    <row r="1269" spans="2:11" ht="38.25" x14ac:dyDescent="0.25">
      <c r="B1269" s="430" t="s">
        <v>189</v>
      </c>
      <c r="C1269" s="367" t="s">
        <v>218</v>
      </c>
      <c r="D1269" s="430" t="s">
        <v>31</v>
      </c>
      <c r="E1269" s="430" t="s">
        <v>219</v>
      </c>
      <c r="F1269" s="497" t="s">
        <v>188</v>
      </c>
      <c r="G1269" s="497"/>
      <c r="H1269" s="368" t="s">
        <v>32</v>
      </c>
      <c r="I1269" s="369">
        <v>0.1</v>
      </c>
      <c r="J1269" s="370">
        <v>18.48</v>
      </c>
      <c r="K1269" s="370">
        <v>1.84</v>
      </c>
    </row>
    <row r="1270" spans="2:11" ht="25.5" x14ac:dyDescent="0.25">
      <c r="B1270" s="431" t="s">
        <v>190</v>
      </c>
      <c r="C1270" s="371" t="s">
        <v>1319</v>
      </c>
      <c r="D1270" s="431" t="s">
        <v>875</v>
      </c>
      <c r="E1270" s="431" t="s">
        <v>1320</v>
      </c>
      <c r="F1270" s="500" t="s">
        <v>199</v>
      </c>
      <c r="G1270" s="500"/>
      <c r="H1270" s="372" t="s">
        <v>227</v>
      </c>
      <c r="I1270" s="373">
        <v>1</v>
      </c>
      <c r="J1270" s="374">
        <v>6.01</v>
      </c>
      <c r="K1270" s="374">
        <v>6.01</v>
      </c>
    </row>
    <row r="1271" spans="2:11" x14ac:dyDescent="0.25">
      <c r="B1271" s="431" t="s">
        <v>190</v>
      </c>
      <c r="C1271" s="371" t="s">
        <v>1321</v>
      </c>
      <c r="D1271" s="431" t="s">
        <v>125</v>
      </c>
      <c r="E1271" s="431" t="s">
        <v>1322</v>
      </c>
      <c r="F1271" s="500" t="s">
        <v>199</v>
      </c>
      <c r="G1271" s="500"/>
      <c r="H1271" s="372" t="s">
        <v>22</v>
      </c>
      <c r="I1271" s="373">
        <v>0</v>
      </c>
      <c r="J1271" s="374">
        <v>1</v>
      </c>
      <c r="K1271" s="374">
        <v>0</v>
      </c>
    </row>
    <row r="1272" spans="2:11" ht="15" x14ac:dyDescent="0.25">
      <c r="B1272" s="432"/>
      <c r="C1272" s="432"/>
      <c r="D1272" s="432"/>
      <c r="E1272" s="432"/>
      <c r="F1272" s="432"/>
      <c r="G1272" s="375"/>
      <c r="H1272" s="432"/>
      <c r="I1272" s="375"/>
      <c r="J1272" s="375"/>
      <c r="K1272"/>
    </row>
    <row r="1273" spans="2:11" ht="15.75" thickBot="1" x14ac:dyDescent="0.3">
      <c r="B1273" s="432"/>
      <c r="C1273" s="432"/>
      <c r="D1273" s="432"/>
      <c r="E1273" s="432"/>
      <c r="F1273" s="432"/>
      <c r="G1273" s="375"/>
      <c r="H1273" s="432"/>
      <c r="I1273" s="432"/>
      <c r="J1273" s="375"/>
      <c r="K1273"/>
    </row>
    <row r="1274" spans="2:11" ht="13.5" thickTop="1" x14ac:dyDescent="0.25">
      <c r="B1274" s="376"/>
      <c r="C1274" s="376"/>
      <c r="D1274" s="376"/>
      <c r="E1274" s="376"/>
      <c r="F1274" s="376"/>
      <c r="G1274" s="376"/>
      <c r="H1274" s="376"/>
      <c r="I1274" s="376"/>
      <c r="J1274" s="376"/>
      <c r="K1274" s="376"/>
    </row>
    <row r="1275" spans="2:11" ht="24" customHeight="1" x14ac:dyDescent="0.25">
      <c r="B1275" s="433" t="s">
        <v>1658</v>
      </c>
      <c r="C1275" s="361" t="s">
        <v>0</v>
      </c>
      <c r="D1275" s="433" t="s">
        <v>185</v>
      </c>
      <c r="E1275" s="433" t="s">
        <v>83</v>
      </c>
      <c r="F1275" s="498" t="s">
        <v>1</v>
      </c>
      <c r="G1275" s="498"/>
      <c r="H1275" s="362" t="s">
        <v>3</v>
      </c>
      <c r="I1275" s="361" t="s">
        <v>186</v>
      </c>
      <c r="J1275" s="361" t="s">
        <v>187</v>
      </c>
      <c r="K1275" s="361" t="s">
        <v>4</v>
      </c>
    </row>
    <row r="1276" spans="2:11" ht="51" x14ac:dyDescent="0.25">
      <c r="B1276" s="434" t="s">
        <v>7</v>
      </c>
      <c r="C1276" s="363" t="s">
        <v>1282</v>
      </c>
      <c r="D1276" s="434" t="s">
        <v>125</v>
      </c>
      <c r="E1276" s="434" t="s">
        <v>1283</v>
      </c>
      <c r="F1276" s="499" t="s">
        <v>1182</v>
      </c>
      <c r="G1276" s="499"/>
      <c r="H1276" s="364" t="s">
        <v>22</v>
      </c>
      <c r="I1276" s="365">
        <v>1</v>
      </c>
      <c r="J1276" s="366">
        <v>1014.1</v>
      </c>
      <c r="K1276" s="366">
        <v>1014.1</v>
      </c>
    </row>
    <row r="1277" spans="2:11" ht="38.25" x14ac:dyDescent="0.25">
      <c r="B1277" s="430" t="s">
        <v>189</v>
      </c>
      <c r="C1277" s="367" t="s">
        <v>220</v>
      </c>
      <c r="D1277" s="430" t="s">
        <v>31</v>
      </c>
      <c r="E1277" s="430" t="s">
        <v>221</v>
      </c>
      <c r="F1277" s="497" t="s">
        <v>188</v>
      </c>
      <c r="G1277" s="497"/>
      <c r="H1277" s="368" t="s">
        <v>32</v>
      </c>
      <c r="I1277" s="369">
        <v>1</v>
      </c>
      <c r="J1277" s="370">
        <v>22.58</v>
      </c>
      <c r="K1277" s="370">
        <v>22.58</v>
      </c>
    </row>
    <row r="1278" spans="2:11" ht="25.5" x14ac:dyDescent="0.25">
      <c r="B1278" s="431" t="s">
        <v>190</v>
      </c>
      <c r="C1278" s="371" t="s">
        <v>1334</v>
      </c>
      <c r="D1278" s="431" t="s">
        <v>1335</v>
      </c>
      <c r="E1278" s="431" t="s">
        <v>1336</v>
      </c>
      <c r="F1278" s="500" t="s">
        <v>199</v>
      </c>
      <c r="G1278" s="500"/>
      <c r="H1278" s="372" t="s">
        <v>22</v>
      </c>
      <c r="I1278" s="373">
        <v>2.14</v>
      </c>
      <c r="J1278" s="374">
        <v>463.33</v>
      </c>
      <c r="K1278" s="374">
        <v>991.52</v>
      </c>
    </row>
    <row r="1279" spans="2:11" ht="15" x14ac:dyDescent="0.25">
      <c r="B1279" s="432"/>
      <c r="C1279" s="432"/>
      <c r="D1279" s="432"/>
      <c r="E1279" s="432"/>
      <c r="F1279" s="432"/>
      <c r="G1279" s="375"/>
      <c r="H1279" s="432"/>
      <c r="I1279" s="375"/>
      <c r="J1279" s="375"/>
      <c r="K1279"/>
    </row>
    <row r="1280" spans="2:11" ht="15" x14ac:dyDescent="0.25">
      <c r="B1280" s="432"/>
      <c r="C1280" s="432"/>
      <c r="D1280" s="432"/>
      <c r="E1280" s="432"/>
      <c r="F1280" s="432"/>
      <c r="G1280" s="375"/>
      <c r="H1280" s="432"/>
      <c r="I1280" s="432"/>
      <c r="J1280" s="375"/>
      <c r="K1280"/>
    </row>
    <row r="1281" spans="2:11" ht="15.75" thickBot="1" x14ac:dyDescent="0.3">
      <c r="B1281" s="432"/>
      <c r="C1281" s="432"/>
      <c r="D1281" s="432"/>
      <c r="E1281" s="432"/>
      <c r="F1281" s="432"/>
      <c r="G1281" s="375"/>
      <c r="H1281" s="432"/>
      <c r="I1281" s="432"/>
      <c r="J1281" s="375"/>
      <c r="K1281"/>
    </row>
    <row r="1282" spans="2:11" ht="13.5" thickTop="1" x14ac:dyDescent="0.25">
      <c r="B1282" s="376"/>
      <c r="C1282" s="376"/>
      <c r="D1282" s="376"/>
      <c r="E1282" s="376"/>
      <c r="F1282" s="376"/>
      <c r="G1282" s="376"/>
      <c r="H1282" s="376"/>
      <c r="I1282" s="376"/>
      <c r="J1282" s="376"/>
      <c r="K1282" s="376"/>
    </row>
    <row r="1283" spans="2:11" ht="23.45" customHeight="1" x14ac:dyDescent="0.25">
      <c r="B1283" s="433" t="s">
        <v>1052</v>
      </c>
      <c r="C1283" s="361" t="s">
        <v>0</v>
      </c>
      <c r="D1283" s="433" t="s">
        <v>185</v>
      </c>
      <c r="E1283" s="433" t="s">
        <v>83</v>
      </c>
      <c r="F1283" s="498" t="s">
        <v>1</v>
      </c>
      <c r="G1283" s="498"/>
      <c r="H1283" s="362" t="s">
        <v>3</v>
      </c>
      <c r="I1283" s="361" t="s">
        <v>186</v>
      </c>
      <c r="J1283" s="361" t="s">
        <v>187</v>
      </c>
      <c r="K1283" s="361" t="s">
        <v>4</v>
      </c>
    </row>
    <row r="1284" spans="2:11" ht="25.5" x14ac:dyDescent="0.25">
      <c r="B1284" s="434" t="s">
        <v>7</v>
      </c>
      <c r="C1284" s="363" t="s">
        <v>785</v>
      </c>
      <c r="D1284" s="434" t="s">
        <v>214</v>
      </c>
      <c r="E1284" s="434" t="s">
        <v>786</v>
      </c>
      <c r="F1284" s="499" t="s">
        <v>1311</v>
      </c>
      <c r="G1284" s="499"/>
      <c r="H1284" s="364" t="s">
        <v>787</v>
      </c>
      <c r="I1284" s="365">
        <v>1</v>
      </c>
      <c r="J1284" s="366">
        <v>21</v>
      </c>
      <c r="K1284" s="366">
        <v>21</v>
      </c>
    </row>
    <row r="1285" spans="2:11" x14ac:dyDescent="0.25">
      <c r="B1285" s="431" t="s">
        <v>190</v>
      </c>
      <c r="C1285" s="371" t="s">
        <v>862</v>
      </c>
      <c r="D1285" s="431" t="s">
        <v>214</v>
      </c>
      <c r="E1285" s="431" t="s">
        <v>786</v>
      </c>
      <c r="F1285" s="500" t="s">
        <v>199</v>
      </c>
      <c r="G1285" s="500"/>
      <c r="H1285" s="372" t="s">
        <v>787</v>
      </c>
      <c r="I1285" s="373">
        <v>1</v>
      </c>
      <c r="J1285" s="374">
        <v>21</v>
      </c>
      <c r="K1285" s="374">
        <v>21</v>
      </c>
    </row>
    <row r="1286" spans="2:11" ht="15" x14ac:dyDescent="0.25">
      <c r="B1286" s="432"/>
      <c r="C1286" s="432"/>
      <c r="D1286" s="432"/>
      <c r="E1286" s="432"/>
      <c r="F1286" s="432"/>
      <c r="G1286" s="375"/>
      <c r="H1286" s="432"/>
      <c r="I1286" s="375"/>
      <c r="J1286" s="375"/>
      <c r="K1286"/>
    </row>
    <row r="1287" spans="2:11" ht="15.75" thickBot="1" x14ac:dyDescent="0.3">
      <c r="B1287" s="432"/>
      <c r="C1287" s="432"/>
      <c r="D1287" s="432"/>
      <c r="E1287" s="432"/>
      <c r="F1287" s="432"/>
      <c r="G1287" s="375"/>
      <c r="H1287" s="432"/>
      <c r="I1287" s="432"/>
      <c r="J1287" s="375"/>
      <c r="K1287"/>
    </row>
    <row r="1288" spans="2:11" ht="13.5" thickTop="1" x14ac:dyDescent="0.25">
      <c r="B1288" s="376"/>
      <c r="C1288" s="376"/>
      <c r="D1288" s="376"/>
      <c r="E1288" s="376"/>
      <c r="F1288" s="376"/>
      <c r="G1288" s="376"/>
      <c r="H1288" s="376"/>
      <c r="I1288" s="376"/>
      <c r="J1288" s="376"/>
      <c r="K1288" s="376"/>
    </row>
    <row r="1289" spans="2:11" ht="24.6" customHeight="1" x14ac:dyDescent="0.25">
      <c r="B1289" s="433" t="s">
        <v>1054</v>
      </c>
      <c r="C1289" s="361" t="s">
        <v>0</v>
      </c>
      <c r="D1289" s="433" t="s">
        <v>185</v>
      </c>
      <c r="E1289" s="433" t="s">
        <v>83</v>
      </c>
      <c r="F1289" s="498" t="s">
        <v>1</v>
      </c>
      <c r="G1289" s="498"/>
      <c r="H1289" s="362" t="s">
        <v>3</v>
      </c>
      <c r="I1289" s="361" t="s">
        <v>186</v>
      </c>
      <c r="J1289" s="361" t="s">
        <v>187</v>
      </c>
      <c r="K1289" s="361" t="s">
        <v>4</v>
      </c>
    </row>
    <row r="1290" spans="2:11" ht="25.5" x14ac:dyDescent="0.25">
      <c r="B1290" s="434" t="s">
        <v>7</v>
      </c>
      <c r="C1290" s="363" t="s">
        <v>1393</v>
      </c>
      <c r="D1290" s="434" t="s">
        <v>177</v>
      </c>
      <c r="E1290" s="434" t="s">
        <v>1394</v>
      </c>
      <c r="F1290" s="499" t="s">
        <v>1635</v>
      </c>
      <c r="G1290" s="499"/>
      <c r="H1290" s="364" t="s">
        <v>2</v>
      </c>
      <c r="I1290" s="365">
        <v>1</v>
      </c>
      <c r="J1290" s="366">
        <v>2.15</v>
      </c>
      <c r="K1290" s="366">
        <v>2.15</v>
      </c>
    </row>
    <row r="1291" spans="2:11" ht="38.25" x14ac:dyDescent="0.25">
      <c r="B1291" s="430" t="s">
        <v>189</v>
      </c>
      <c r="C1291" s="367" t="s">
        <v>1123</v>
      </c>
      <c r="D1291" s="430" t="s">
        <v>177</v>
      </c>
      <c r="E1291" s="430" t="s">
        <v>1124</v>
      </c>
      <c r="F1291" s="497" t="s">
        <v>1125</v>
      </c>
      <c r="G1291" s="497"/>
      <c r="H1291" s="368" t="s">
        <v>1126</v>
      </c>
      <c r="I1291" s="369">
        <v>0.1</v>
      </c>
      <c r="J1291" s="370">
        <v>3.63</v>
      </c>
      <c r="K1291" s="370">
        <v>0.36</v>
      </c>
    </row>
    <row r="1292" spans="2:11" x14ac:dyDescent="0.25">
      <c r="B1292" s="431" t="s">
        <v>190</v>
      </c>
      <c r="C1292" s="371" t="s">
        <v>1636</v>
      </c>
      <c r="D1292" s="431" t="s">
        <v>177</v>
      </c>
      <c r="E1292" s="431" t="s">
        <v>1637</v>
      </c>
      <c r="F1292" s="500" t="s">
        <v>199</v>
      </c>
      <c r="G1292" s="500"/>
      <c r="H1292" s="372" t="s">
        <v>1638</v>
      </c>
      <c r="I1292" s="373">
        <v>5.0000000000000001E-3</v>
      </c>
      <c r="J1292" s="374">
        <v>9.09</v>
      </c>
      <c r="K1292" s="374">
        <v>0.04</v>
      </c>
    </row>
    <row r="1293" spans="2:11" x14ac:dyDescent="0.25">
      <c r="B1293" s="431" t="s">
        <v>190</v>
      </c>
      <c r="C1293" s="371" t="s">
        <v>1639</v>
      </c>
      <c r="D1293" s="431" t="s">
        <v>177</v>
      </c>
      <c r="E1293" s="431" t="s">
        <v>1640</v>
      </c>
      <c r="F1293" s="500" t="s">
        <v>199</v>
      </c>
      <c r="G1293" s="500"/>
      <c r="H1293" s="372" t="s">
        <v>227</v>
      </c>
      <c r="I1293" s="373">
        <v>0.05</v>
      </c>
      <c r="J1293" s="374">
        <v>11.8</v>
      </c>
      <c r="K1293" s="374">
        <v>0.59</v>
      </c>
    </row>
    <row r="1294" spans="2:11" ht="38.25" x14ac:dyDescent="0.25">
      <c r="B1294" s="431" t="s">
        <v>190</v>
      </c>
      <c r="C1294" s="371" t="s">
        <v>175</v>
      </c>
      <c r="D1294" s="431" t="s">
        <v>31</v>
      </c>
      <c r="E1294" s="431" t="s">
        <v>47</v>
      </c>
      <c r="F1294" s="500" t="s">
        <v>191</v>
      </c>
      <c r="G1294" s="500"/>
      <c r="H1294" s="372" t="s">
        <v>32</v>
      </c>
      <c r="I1294" s="373">
        <v>0.1</v>
      </c>
      <c r="J1294" s="374">
        <v>11.67</v>
      </c>
      <c r="K1294" s="374">
        <v>1.1599999999999999</v>
      </c>
    </row>
  </sheetData>
  <mergeCells count="824">
    <mergeCell ref="F1021:G1021"/>
    <mergeCell ref="F1174:G1174"/>
    <mergeCell ref="F1119:G1119"/>
    <mergeCell ref="F1120:G1120"/>
    <mergeCell ref="F1126:G1126"/>
    <mergeCell ref="F1025:G1025"/>
    <mergeCell ref="F1048:G1048"/>
    <mergeCell ref="F1049:G1049"/>
    <mergeCell ref="F1050:G1050"/>
    <mergeCell ref="F1176:G1176"/>
    <mergeCell ref="F1183:G1183"/>
    <mergeCell ref="F1184:G1184"/>
    <mergeCell ref="F1185:G1185"/>
    <mergeCell ref="F1177:G1177"/>
    <mergeCell ref="F1178:G1178"/>
    <mergeCell ref="F1047:G1047"/>
    <mergeCell ref="F1066:G1066"/>
    <mergeCell ref="F1032:G1032"/>
    <mergeCell ref="F1040:G1040"/>
    <mergeCell ref="F1079:G1079"/>
    <mergeCell ref="F1173:G1173"/>
    <mergeCell ref="F1166:G1166"/>
    <mergeCell ref="F1167:G1167"/>
    <mergeCell ref="F1227:G1227"/>
    <mergeCell ref="F1228:G1228"/>
    <mergeCell ref="F1235:G1235"/>
    <mergeCell ref="F1236:G1236"/>
    <mergeCell ref="F1237:G1237"/>
    <mergeCell ref="F1238:G1238"/>
    <mergeCell ref="F1212:G1212"/>
    <mergeCell ref="F1213:G1213"/>
    <mergeCell ref="F1214:G1214"/>
    <mergeCell ref="F1219:G1219"/>
    <mergeCell ref="F1220:G1220"/>
    <mergeCell ref="F1221:G1221"/>
    <mergeCell ref="F1222:G1222"/>
    <mergeCell ref="F1223:G1223"/>
    <mergeCell ref="F1229:G1229"/>
    <mergeCell ref="F1207:G1207"/>
    <mergeCell ref="F1208:G1208"/>
    <mergeCell ref="F1209:G1209"/>
    <mergeCell ref="F1026:G1026"/>
    <mergeCell ref="F1027:G1027"/>
    <mergeCell ref="F1028:G1028"/>
    <mergeCell ref="F1034:G1034"/>
    <mergeCell ref="F1035:G1035"/>
    <mergeCell ref="F1036:G1036"/>
    <mergeCell ref="F1141:G1141"/>
    <mergeCell ref="F1142:G1142"/>
    <mergeCell ref="F1143:G1143"/>
    <mergeCell ref="F1149:G1149"/>
    <mergeCell ref="F1112:G1112"/>
    <mergeCell ref="F1063:G1063"/>
    <mergeCell ref="F1064:G1064"/>
    <mergeCell ref="F1065:G1065"/>
    <mergeCell ref="F1073:G1073"/>
    <mergeCell ref="F1074:G1074"/>
    <mergeCell ref="F1075:G1075"/>
    <mergeCell ref="F1059:G1059"/>
    <mergeCell ref="F1055:G1055"/>
    <mergeCell ref="F1072:G1072"/>
    <mergeCell ref="F1202:G1202"/>
    <mergeCell ref="F1270:G1270"/>
    <mergeCell ref="F1271:G1271"/>
    <mergeCell ref="F1275:G1275"/>
    <mergeCell ref="F1276:G1276"/>
    <mergeCell ref="F852:G852"/>
    <mergeCell ref="F853:G853"/>
    <mergeCell ref="F880:G880"/>
    <mergeCell ref="F887:G887"/>
    <mergeCell ref="F900:G900"/>
    <mergeCell ref="F901:G901"/>
    <mergeCell ref="F910:G910"/>
    <mergeCell ref="F911:G911"/>
    <mergeCell ref="F933:G933"/>
    <mergeCell ref="F934:G934"/>
    <mergeCell ref="F944:G944"/>
    <mergeCell ref="F1268:G1268"/>
    <mergeCell ref="F1266:G1266"/>
    <mergeCell ref="F1269:G1269"/>
    <mergeCell ref="F1258:G1258"/>
    <mergeCell ref="F1259:G1259"/>
    <mergeCell ref="F1260:G1260"/>
    <mergeCell ref="F1243:G1243"/>
    <mergeCell ref="F1244:G1244"/>
    <mergeCell ref="F1245:G1245"/>
    <mergeCell ref="F399:G399"/>
    <mergeCell ref="F425:G425"/>
    <mergeCell ref="F426:G426"/>
    <mergeCell ref="F441:G441"/>
    <mergeCell ref="F443:G443"/>
    <mergeCell ref="F444:G444"/>
    <mergeCell ref="F470:G470"/>
    <mergeCell ref="F494:G494"/>
    <mergeCell ref="F495:G495"/>
    <mergeCell ref="F451:G451"/>
    <mergeCell ref="F452:G452"/>
    <mergeCell ref="F459:G459"/>
    <mergeCell ref="F400:G400"/>
    <mergeCell ref="F411:G411"/>
    <mergeCell ref="F407:G407"/>
    <mergeCell ref="F440:G440"/>
    <mergeCell ref="F448:G448"/>
    <mergeCell ref="F457:G457"/>
    <mergeCell ref="F465:G465"/>
    <mergeCell ref="F466:G466"/>
    <mergeCell ref="F474:G474"/>
    <mergeCell ref="F419:G419"/>
    <mergeCell ref="F427:G427"/>
    <mergeCell ref="F432:G432"/>
    <mergeCell ref="F634:G634"/>
    <mergeCell ref="F1267:G1267"/>
    <mergeCell ref="F1083:G1083"/>
    <mergeCell ref="F1084:G1084"/>
    <mergeCell ref="F1091:G1091"/>
    <mergeCell ref="F1111:G1111"/>
    <mergeCell ref="F1113:G1113"/>
    <mergeCell ref="F1114:G1114"/>
    <mergeCell ref="F1088:G1088"/>
    <mergeCell ref="F1089:G1089"/>
    <mergeCell ref="F1090:G1090"/>
    <mergeCell ref="F1082:G1082"/>
    <mergeCell ref="F1115:G1115"/>
    <mergeCell ref="F1252:G1252"/>
    <mergeCell ref="F1253:G1253"/>
    <mergeCell ref="F1254:G1254"/>
    <mergeCell ref="F1261:G1261"/>
    <mergeCell ref="F1262:G1262"/>
    <mergeCell ref="F1246:G1246"/>
    <mergeCell ref="F1251:G1251"/>
    <mergeCell ref="F955:G955"/>
    <mergeCell ref="F1106:G1106"/>
    <mergeCell ref="F1107:G1107"/>
    <mergeCell ref="F1205:G1205"/>
    <mergeCell ref="F1277:G1277"/>
    <mergeCell ref="F1278:G1278"/>
    <mergeCell ref="F1285:G1285"/>
    <mergeCell ref="F1289:G1289"/>
    <mergeCell ref="F1290:G1290"/>
    <mergeCell ref="F1291:G1291"/>
    <mergeCell ref="F1135:G1135"/>
    <mergeCell ref="F1136:G1136"/>
    <mergeCell ref="F1234:G1234"/>
    <mergeCell ref="F1144:G1144"/>
    <mergeCell ref="F1242:G1242"/>
    <mergeCell ref="F1152:G1152"/>
    <mergeCell ref="F1250:G1250"/>
    <mergeCell ref="F1153:G1153"/>
    <mergeCell ref="F1206:G1206"/>
    <mergeCell ref="F1215:G1215"/>
    <mergeCell ref="F1198:G1198"/>
    <mergeCell ref="F1182:G1182"/>
    <mergeCell ref="F1283:G1283"/>
    <mergeCell ref="F1284:G1284"/>
    <mergeCell ref="F1199:G1199"/>
    <mergeCell ref="F1200:G1200"/>
    <mergeCell ref="F1201:G1201"/>
    <mergeCell ref="F1230:G1230"/>
    <mergeCell ref="F1010:G1010"/>
    <mergeCell ref="F1002:G1002"/>
    <mergeCell ref="F1009:G1009"/>
    <mergeCell ref="F1003:G1003"/>
    <mergeCell ref="F1004:G1004"/>
    <mergeCell ref="F1005:G1005"/>
    <mergeCell ref="F982:G982"/>
    <mergeCell ref="F983:G983"/>
    <mergeCell ref="F984:G984"/>
    <mergeCell ref="F985:G985"/>
    <mergeCell ref="F986:G986"/>
    <mergeCell ref="F987:G987"/>
    <mergeCell ref="F988:G988"/>
    <mergeCell ref="F916:G916"/>
    <mergeCell ref="F909:G909"/>
    <mergeCell ref="F993:G993"/>
    <mergeCell ref="F994:G994"/>
    <mergeCell ref="F995:G995"/>
    <mergeCell ref="F1001:G1001"/>
    <mergeCell ref="F978:G978"/>
    <mergeCell ref="F996:G996"/>
    <mergeCell ref="F997:G997"/>
    <mergeCell ref="F959:G959"/>
    <mergeCell ref="F967:G967"/>
    <mergeCell ref="F968:G968"/>
    <mergeCell ref="F969:G969"/>
    <mergeCell ref="F975:G975"/>
    <mergeCell ref="F976:G976"/>
    <mergeCell ref="F963:G963"/>
    <mergeCell ref="F966:G966"/>
    <mergeCell ref="F974:G974"/>
    <mergeCell ref="F956:G956"/>
    <mergeCell ref="F957:G957"/>
    <mergeCell ref="F965:G965"/>
    <mergeCell ref="F958:G958"/>
    <mergeCell ref="F923:G923"/>
    <mergeCell ref="F943:G943"/>
    <mergeCell ref="F897:G897"/>
    <mergeCell ref="F898:G898"/>
    <mergeCell ref="F899:G899"/>
    <mergeCell ref="F905:G905"/>
    <mergeCell ref="F906:G906"/>
    <mergeCell ref="F907:G907"/>
    <mergeCell ref="F915:G915"/>
    <mergeCell ref="F896:G896"/>
    <mergeCell ref="F908:G908"/>
    <mergeCell ref="F951:G951"/>
    <mergeCell ref="F917:G917"/>
    <mergeCell ref="F918:G918"/>
    <mergeCell ref="F931:G931"/>
    <mergeCell ref="F932:G932"/>
    <mergeCell ref="F939:G939"/>
    <mergeCell ref="F940:G940"/>
    <mergeCell ref="F941:G941"/>
    <mergeCell ref="F948:G948"/>
    <mergeCell ref="F949:G949"/>
    <mergeCell ref="F950:G950"/>
    <mergeCell ref="F926:G926"/>
    <mergeCell ref="F925:G925"/>
    <mergeCell ref="F919:G919"/>
    <mergeCell ref="F865:G865"/>
    <mergeCell ref="F873:G873"/>
    <mergeCell ref="F881:G881"/>
    <mergeCell ref="F888:G888"/>
    <mergeCell ref="F889:G889"/>
    <mergeCell ref="F866:G866"/>
    <mergeCell ref="F867:G867"/>
    <mergeCell ref="F868:G868"/>
    <mergeCell ref="F875:G875"/>
    <mergeCell ref="F874:G874"/>
    <mergeCell ref="F869:G869"/>
    <mergeCell ref="F876:G876"/>
    <mergeCell ref="F883:G883"/>
    <mergeCell ref="F837:G837"/>
    <mergeCell ref="F842:G842"/>
    <mergeCell ref="F843:G843"/>
    <mergeCell ref="F815:G815"/>
    <mergeCell ref="F816:G816"/>
    <mergeCell ref="F817:G817"/>
    <mergeCell ref="F823:G823"/>
    <mergeCell ref="F824:G824"/>
    <mergeCell ref="F825:G825"/>
    <mergeCell ref="F831:G831"/>
    <mergeCell ref="F838:G838"/>
    <mergeCell ref="F832:G832"/>
    <mergeCell ref="F833:G833"/>
    <mergeCell ref="F821:G821"/>
    <mergeCell ref="F829:G829"/>
    <mergeCell ref="F830:G830"/>
    <mergeCell ref="F813:G813"/>
    <mergeCell ref="F783:G783"/>
    <mergeCell ref="F784:G784"/>
    <mergeCell ref="F785:G785"/>
    <mergeCell ref="F786:G786"/>
    <mergeCell ref="F787:G787"/>
    <mergeCell ref="F789:G789"/>
    <mergeCell ref="F790:G790"/>
    <mergeCell ref="F791:G791"/>
    <mergeCell ref="F792:G792"/>
    <mergeCell ref="F793:G793"/>
    <mergeCell ref="F797:G797"/>
    <mergeCell ref="F798:G798"/>
    <mergeCell ref="F799:G799"/>
    <mergeCell ref="F808:G808"/>
    <mergeCell ref="F800:G800"/>
    <mergeCell ref="F801:G801"/>
    <mergeCell ref="F773:G773"/>
    <mergeCell ref="F774:G774"/>
    <mergeCell ref="F775:G775"/>
    <mergeCell ref="F776:G776"/>
    <mergeCell ref="F777:G777"/>
    <mergeCell ref="F778:G778"/>
    <mergeCell ref="F728:G728"/>
    <mergeCell ref="F737:G737"/>
    <mergeCell ref="F746:G746"/>
    <mergeCell ref="F753:G753"/>
    <mergeCell ref="F742:G742"/>
    <mergeCell ref="F743:G743"/>
    <mergeCell ref="F750:G750"/>
    <mergeCell ref="F754:G754"/>
    <mergeCell ref="F759:G759"/>
    <mergeCell ref="F758:G758"/>
    <mergeCell ref="F761:G761"/>
    <mergeCell ref="F762:G762"/>
    <mergeCell ref="F769:G769"/>
    <mergeCell ref="F770:G770"/>
    <mergeCell ref="F724:G724"/>
    <mergeCell ref="F725:G725"/>
    <mergeCell ref="F726:G726"/>
    <mergeCell ref="F732:G732"/>
    <mergeCell ref="F733:G733"/>
    <mergeCell ref="F751:G751"/>
    <mergeCell ref="F675:G675"/>
    <mergeCell ref="F676:G676"/>
    <mergeCell ref="F683:G683"/>
    <mergeCell ref="F681:G681"/>
    <mergeCell ref="F682:G682"/>
    <mergeCell ref="F719:G719"/>
    <mergeCell ref="F688:G688"/>
    <mergeCell ref="F689:G689"/>
    <mergeCell ref="F690:G690"/>
    <mergeCell ref="F707:G707"/>
    <mergeCell ref="F715:G715"/>
    <mergeCell ref="F698:G698"/>
    <mergeCell ref="F699:G699"/>
    <mergeCell ref="F700:G700"/>
    <mergeCell ref="F708:G708"/>
    <mergeCell ref="F709:G709"/>
    <mergeCell ref="F710:G710"/>
    <mergeCell ref="F716:G716"/>
    <mergeCell ref="F717:G717"/>
    <mergeCell ref="F718:G718"/>
    <mergeCell ref="F687:G687"/>
    <mergeCell ref="F691:G691"/>
    <mergeCell ref="F692:G692"/>
    <mergeCell ref="F693:G693"/>
    <mergeCell ref="F701:G701"/>
    <mergeCell ref="F702:G702"/>
    <mergeCell ref="F711:G711"/>
    <mergeCell ref="F553:G553"/>
    <mergeCell ref="F561:G561"/>
    <mergeCell ref="F624:G624"/>
    <mergeCell ref="F631:G631"/>
    <mergeCell ref="F632:G632"/>
    <mergeCell ref="F590:G590"/>
    <mergeCell ref="F607:G607"/>
    <mergeCell ref="F565:G565"/>
    <mergeCell ref="F608:G608"/>
    <mergeCell ref="F609:G609"/>
    <mergeCell ref="F625:G625"/>
    <mergeCell ref="F613:G613"/>
    <mergeCell ref="F614:G614"/>
    <mergeCell ref="F615:G615"/>
    <mergeCell ref="F616:G616"/>
    <mergeCell ref="F569:G569"/>
    <mergeCell ref="F583:G583"/>
    <mergeCell ref="F588:G588"/>
    <mergeCell ref="F589:G589"/>
    <mergeCell ref="F557:G557"/>
    <mergeCell ref="F573:G573"/>
    <mergeCell ref="F574:G574"/>
    <mergeCell ref="F591:G591"/>
    <mergeCell ref="F621:G621"/>
    <mergeCell ref="F404:G404"/>
    <mergeCell ref="F405:G405"/>
    <mergeCell ref="F406:G406"/>
    <mergeCell ref="F412:G412"/>
    <mergeCell ref="F413:G413"/>
    <mergeCell ref="F414:G414"/>
    <mergeCell ref="F420:G420"/>
    <mergeCell ref="F421:G421"/>
    <mergeCell ref="F428:G428"/>
    <mergeCell ref="F418:G418"/>
    <mergeCell ref="F346:G346"/>
    <mergeCell ref="F347:G347"/>
    <mergeCell ref="F311:G311"/>
    <mergeCell ref="F312:G312"/>
    <mergeCell ref="F303:G303"/>
    <mergeCell ref="F308:G308"/>
    <mergeCell ref="F353:G353"/>
    <mergeCell ref="F354:G354"/>
    <mergeCell ref="F316:G316"/>
    <mergeCell ref="F317:G317"/>
    <mergeCell ref="F325:G325"/>
    <mergeCell ref="F326:G326"/>
    <mergeCell ref="F327:G327"/>
    <mergeCell ref="F328:G328"/>
    <mergeCell ref="F318:G318"/>
    <mergeCell ref="F319:G319"/>
    <mergeCell ref="F320:G320"/>
    <mergeCell ref="F343:G343"/>
    <mergeCell ref="F344:G344"/>
    <mergeCell ref="F352:G352"/>
    <mergeCell ref="F348:G348"/>
    <mergeCell ref="F335:G335"/>
    <mergeCell ref="F339:G339"/>
    <mergeCell ref="F345:G345"/>
    <mergeCell ref="F268:G268"/>
    <mergeCell ref="F270:G270"/>
    <mergeCell ref="F280:G280"/>
    <mergeCell ref="F287:G287"/>
    <mergeCell ref="F288:G288"/>
    <mergeCell ref="F294:G294"/>
    <mergeCell ref="F276:G276"/>
    <mergeCell ref="F337:G337"/>
    <mergeCell ref="F338:G338"/>
    <mergeCell ref="F299:G299"/>
    <mergeCell ref="F300:G300"/>
    <mergeCell ref="F307:G307"/>
    <mergeCell ref="F321:G321"/>
    <mergeCell ref="F329:G329"/>
    <mergeCell ref="F330:G330"/>
    <mergeCell ref="F309:G309"/>
    <mergeCell ref="F336:G336"/>
    <mergeCell ref="F310:G310"/>
    <mergeCell ref="F301:G301"/>
    <mergeCell ref="F153:G153"/>
    <mergeCell ref="F154:G154"/>
    <mergeCell ref="F223:G223"/>
    <mergeCell ref="F224:G224"/>
    <mergeCell ref="F225:G225"/>
    <mergeCell ref="F233:G233"/>
    <mergeCell ref="F234:G234"/>
    <mergeCell ref="F155:G155"/>
    <mergeCell ref="F165:G165"/>
    <mergeCell ref="F169:G169"/>
    <mergeCell ref="F170:G170"/>
    <mergeCell ref="F180:G180"/>
    <mergeCell ref="F175:G175"/>
    <mergeCell ref="F176:G176"/>
    <mergeCell ref="F161:G161"/>
    <mergeCell ref="F166:G166"/>
    <mergeCell ref="F181:G181"/>
    <mergeCell ref="F159:G159"/>
    <mergeCell ref="F241:G241"/>
    <mergeCell ref="F242:G242"/>
    <mergeCell ref="F243:G243"/>
    <mergeCell ref="F256:G256"/>
    <mergeCell ref="F263:G263"/>
    <mergeCell ref="F184:G184"/>
    <mergeCell ref="F185:G185"/>
    <mergeCell ref="F232:G232"/>
    <mergeCell ref="F187:G187"/>
    <mergeCell ref="F188:G188"/>
    <mergeCell ref="F196:G196"/>
    <mergeCell ref="F205:G205"/>
    <mergeCell ref="F206:G206"/>
    <mergeCell ref="F227:G227"/>
    <mergeCell ref="F262:G262"/>
    <mergeCell ref="F253:G253"/>
    <mergeCell ref="F260:G260"/>
    <mergeCell ref="F261:G261"/>
    <mergeCell ref="F247:G247"/>
    <mergeCell ref="F148:G148"/>
    <mergeCell ref="F149:G149"/>
    <mergeCell ref="F98:G98"/>
    <mergeCell ref="F99:G99"/>
    <mergeCell ref="F112:G112"/>
    <mergeCell ref="F116:G116"/>
    <mergeCell ref="F117:G117"/>
    <mergeCell ref="F119:G119"/>
    <mergeCell ref="F130:G130"/>
    <mergeCell ref="F110:G110"/>
    <mergeCell ref="F111:G111"/>
    <mergeCell ref="F135:G135"/>
    <mergeCell ref="F146:G146"/>
    <mergeCell ref="F139:G139"/>
    <mergeCell ref="F140:G140"/>
    <mergeCell ref="F141:G141"/>
    <mergeCell ref="F126:G126"/>
    <mergeCell ref="F134:G134"/>
    <mergeCell ref="F29:G29"/>
    <mergeCell ref="F30:G30"/>
    <mergeCell ref="F123:G123"/>
    <mergeCell ref="F90:G90"/>
    <mergeCell ref="F97:G97"/>
    <mergeCell ref="F103:G103"/>
    <mergeCell ref="F118:G118"/>
    <mergeCell ref="F68:G68"/>
    <mergeCell ref="F73:G73"/>
    <mergeCell ref="F74:G74"/>
    <mergeCell ref="F84:G84"/>
    <mergeCell ref="F85:G85"/>
    <mergeCell ref="F86:G86"/>
    <mergeCell ref="F39:G39"/>
    <mergeCell ref="F40:G40"/>
    <mergeCell ref="F41:G41"/>
    <mergeCell ref="F42:G42"/>
    <mergeCell ref="F60:G60"/>
    <mergeCell ref="F52:G52"/>
    <mergeCell ref="F612:G612"/>
    <mergeCell ref="F620:G620"/>
    <mergeCell ref="F603:G603"/>
    <mergeCell ref="F582:G582"/>
    <mergeCell ref="F564:G564"/>
    <mergeCell ref="F572:G572"/>
    <mergeCell ref="F674:G674"/>
    <mergeCell ref="F680:G680"/>
    <mergeCell ref="F654:G654"/>
    <mergeCell ref="F655:G655"/>
    <mergeCell ref="F663:G663"/>
    <mergeCell ref="F667:G667"/>
    <mergeCell ref="F668:G668"/>
    <mergeCell ref="F662:G662"/>
    <mergeCell ref="F656:G656"/>
    <mergeCell ref="F657:G657"/>
    <mergeCell ref="F629:G629"/>
    <mergeCell ref="F630:G630"/>
    <mergeCell ref="F623:G623"/>
    <mergeCell ref="F649:G649"/>
    <mergeCell ref="F650:G650"/>
    <mergeCell ref="F658:G658"/>
    <mergeCell ref="F664:G664"/>
    <mergeCell ref="F665:G665"/>
    <mergeCell ref="B12:K12"/>
    <mergeCell ref="F14:G14"/>
    <mergeCell ref="F15:G15"/>
    <mergeCell ref="F16:G16"/>
    <mergeCell ref="F17:G17"/>
    <mergeCell ref="F18:G18"/>
    <mergeCell ref="F19:G19"/>
    <mergeCell ref="F20:G20"/>
    <mergeCell ref="F27:G27"/>
    <mergeCell ref="F13:G13"/>
    <mergeCell ref="F24:G24"/>
    <mergeCell ref="F28:G28"/>
    <mergeCell ref="F952:G952"/>
    <mergeCell ref="F1018:G1018"/>
    <mergeCell ref="F1019:G1019"/>
    <mergeCell ref="F1020:G1020"/>
    <mergeCell ref="F924:G924"/>
    <mergeCell ref="F942:G942"/>
    <mergeCell ref="F964:G964"/>
    <mergeCell ref="F973:G973"/>
    <mergeCell ref="F1017:G1017"/>
    <mergeCell ref="F1011:G1011"/>
    <mergeCell ref="F1012:G1012"/>
    <mergeCell ref="F1013:G1013"/>
    <mergeCell ref="F927:G927"/>
    <mergeCell ref="F935:G935"/>
    <mergeCell ref="F977:G977"/>
    <mergeCell ref="F890:G890"/>
    <mergeCell ref="F736:G736"/>
    <mergeCell ref="F254:G254"/>
    <mergeCell ref="F745:G745"/>
    <mergeCell ref="F822:G822"/>
    <mergeCell ref="F752:G752"/>
    <mergeCell ref="F760:G760"/>
    <mergeCell ref="F979:G979"/>
    <mergeCell ref="F638:G638"/>
    <mergeCell ref="F639:G639"/>
    <mergeCell ref="F646:G646"/>
    <mergeCell ref="F647:G647"/>
    <mergeCell ref="F1056:G1056"/>
    <mergeCell ref="F1057:G1057"/>
    <mergeCell ref="F1058:G1058"/>
    <mergeCell ref="F1033:G1033"/>
    <mergeCell ref="F1041:G1041"/>
    <mergeCell ref="F1042:G1042"/>
    <mergeCell ref="F1043:G1043"/>
    <mergeCell ref="F673:G673"/>
    <mergeCell ref="F1051:G1051"/>
    <mergeCell ref="F847:G847"/>
    <mergeCell ref="F895:G895"/>
    <mergeCell ref="F859:G859"/>
    <mergeCell ref="F860:G860"/>
    <mergeCell ref="F861:G861"/>
    <mergeCell ref="F882:G882"/>
    <mergeCell ref="F858:G858"/>
    <mergeCell ref="F697:G697"/>
    <mergeCell ref="F706:G706"/>
    <mergeCell ref="F648:G648"/>
    <mergeCell ref="F666:G666"/>
    <mergeCell ref="B1:J5"/>
    <mergeCell ref="B11:J11"/>
    <mergeCell ref="C9:H9"/>
    <mergeCell ref="F104:G104"/>
    <mergeCell ref="F105:G105"/>
    <mergeCell ref="F106:G106"/>
    <mergeCell ref="F91:G91"/>
    <mergeCell ref="F92:G92"/>
    <mergeCell ref="F93:G93"/>
    <mergeCell ref="F47:G47"/>
    <mergeCell ref="F48:G48"/>
    <mergeCell ref="F25:G25"/>
    <mergeCell ref="F26:G26"/>
    <mergeCell ref="F31:G31"/>
    <mergeCell ref="F36:G36"/>
    <mergeCell ref="F37:G37"/>
    <mergeCell ref="F38:G38"/>
    <mergeCell ref="F53:G53"/>
    <mergeCell ref="F54:G54"/>
    <mergeCell ref="F59:G59"/>
    <mergeCell ref="F66:G66"/>
    <mergeCell ref="F67:G67"/>
    <mergeCell ref="F35:G35"/>
    <mergeCell ref="F46:G46"/>
    <mergeCell ref="F549:G549"/>
    <mergeCell ref="F533:G533"/>
    <mergeCell ref="F527:G527"/>
    <mergeCell ref="F528:G528"/>
    <mergeCell ref="F202:G202"/>
    <mergeCell ref="F192:G192"/>
    <mergeCell ref="F167:G167"/>
    <mergeCell ref="F236:G236"/>
    <mergeCell ref="F237:G237"/>
    <mergeCell ref="F248:G248"/>
    <mergeCell ref="F174:G174"/>
    <mergeCell ref="F182:G182"/>
    <mergeCell ref="F183:G183"/>
    <mergeCell ref="F213:G213"/>
    <mergeCell ref="F194:G194"/>
    <mergeCell ref="F193:G193"/>
    <mergeCell ref="F212:G212"/>
    <mergeCell ref="F207:G207"/>
    <mergeCell ref="F203:G203"/>
    <mergeCell ref="F215:G215"/>
    <mergeCell ref="F216:G216"/>
    <mergeCell ref="F217:G217"/>
    <mergeCell ref="F226:G226"/>
    <mergeCell ref="F450:G450"/>
    <mergeCell ref="F434:G434"/>
    <mergeCell ref="F435:G435"/>
    <mergeCell ref="F433:G433"/>
    <mergeCell ref="F456:G456"/>
    <mergeCell ref="F463:G463"/>
    <mergeCell ref="F464:G464"/>
    <mergeCell ref="F471:G471"/>
    <mergeCell ref="F482:G482"/>
    <mergeCell ref="F449:G449"/>
    <mergeCell ref="F458:G458"/>
    <mergeCell ref="F473:G473"/>
    <mergeCell ref="F436:G436"/>
    <mergeCell ref="F442:G442"/>
    <mergeCell ref="F472:G472"/>
    <mergeCell ref="F479:G479"/>
    <mergeCell ref="F480:G480"/>
    <mergeCell ref="F481:G481"/>
    <mergeCell ref="F478:G478"/>
    <mergeCell ref="F490:G490"/>
    <mergeCell ref="F486:G486"/>
    <mergeCell ref="F580:G580"/>
    <mergeCell ref="F581:G581"/>
    <mergeCell ref="F562:G562"/>
    <mergeCell ref="F563:G563"/>
    <mergeCell ref="F570:G570"/>
    <mergeCell ref="F571:G571"/>
    <mergeCell ref="F515:G515"/>
    <mergeCell ref="F522:G522"/>
    <mergeCell ref="F523:G523"/>
    <mergeCell ref="F556:G556"/>
    <mergeCell ref="F554:G554"/>
    <mergeCell ref="F555:G555"/>
    <mergeCell ref="F531:G531"/>
    <mergeCell ref="F514:G514"/>
    <mergeCell ref="F488:G488"/>
    <mergeCell ref="F489:G489"/>
    <mergeCell ref="F503:G503"/>
    <mergeCell ref="F504:G504"/>
    <mergeCell ref="F487:G487"/>
    <mergeCell ref="F497:G497"/>
    <mergeCell ref="F498:G498"/>
    <mergeCell ref="F496:G496"/>
    <mergeCell ref="F1292:G1292"/>
    <mergeCell ref="F1293:G1293"/>
    <mergeCell ref="F1294:G1294"/>
    <mergeCell ref="F58:G58"/>
    <mergeCell ref="F64:G64"/>
    <mergeCell ref="F72:G72"/>
    <mergeCell ref="F65:G65"/>
    <mergeCell ref="F78:G78"/>
    <mergeCell ref="F79:G79"/>
    <mergeCell ref="F80:G80"/>
    <mergeCell ref="F75:G75"/>
    <mergeCell ref="F76:G76"/>
    <mergeCell ref="F77:G77"/>
    <mergeCell ref="F124:G124"/>
    <mergeCell ref="F125:G125"/>
    <mergeCell ref="F131:G131"/>
    <mergeCell ref="F132:G132"/>
    <mergeCell ref="F133:G133"/>
    <mergeCell ref="F334:G334"/>
    <mergeCell ref="F578:G578"/>
    <mergeCell ref="F579:G579"/>
    <mergeCell ref="F587:G587"/>
    <mergeCell ref="F734:G734"/>
    <mergeCell ref="F727:G727"/>
    <mergeCell ref="F372:G372"/>
    <mergeCell ref="F373:G373"/>
    <mergeCell ref="F381:G381"/>
    <mergeCell ref="F142:G142"/>
    <mergeCell ref="F200:G200"/>
    <mergeCell ref="F201:G201"/>
    <mergeCell ref="F211:G211"/>
    <mergeCell ref="F218:G218"/>
    <mergeCell ref="F219:G219"/>
    <mergeCell ref="F228:G228"/>
    <mergeCell ref="F186:G186"/>
    <mergeCell ref="F195:G195"/>
    <mergeCell ref="F204:G204"/>
    <mergeCell ref="F214:G214"/>
    <mergeCell ref="F168:G168"/>
    <mergeCell ref="F160:G160"/>
    <mergeCell ref="F244:G244"/>
    <mergeCell ref="F245:G245"/>
    <mergeCell ref="F252:G252"/>
    <mergeCell ref="F302:G302"/>
    <mergeCell ref="F235:G235"/>
    <mergeCell ref="F284:G284"/>
    <mergeCell ref="F246:G246"/>
    <mergeCell ref="F147:G147"/>
    <mergeCell ref="F357:G357"/>
    <mergeCell ref="F362:G362"/>
    <mergeCell ref="F363:G363"/>
    <mergeCell ref="F370:G370"/>
    <mergeCell ref="F371:G371"/>
    <mergeCell ref="F366:G366"/>
    <mergeCell ref="F358:G358"/>
    <mergeCell ref="F255:G255"/>
    <mergeCell ref="F356:G356"/>
    <mergeCell ref="F355:G355"/>
    <mergeCell ref="F364:G364"/>
    <mergeCell ref="F365:G365"/>
    <mergeCell ref="F285:G285"/>
    <mergeCell ref="F286:G286"/>
    <mergeCell ref="F292:G292"/>
    <mergeCell ref="F293:G293"/>
    <mergeCell ref="F298:G298"/>
    <mergeCell ref="F269:G269"/>
    <mergeCell ref="F264:G264"/>
    <mergeCell ref="F271:G271"/>
    <mergeCell ref="F272:G272"/>
    <mergeCell ref="F277:G277"/>
    <mergeCell ref="F278:G278"/>
    <mergeCell ref="F279:G279"/>
    <mergeCell ref="F390:G390"/>
    <mergeCell ref="F397:G397"/>
    <mergeCell ref="F398:G398"/>
    <mergeCell ref="F374:G374"/>
    <mergeCell ref="F382:G382"/>
    <mergeCell ref="F383:G383"/>
    <mergeCell ref="F384:G384"/>
    <mergeCell ref="F385:G385"/>
    <mergeCell ref="F391:G391"/>
    <mergeCell ref="F392:G392"/>
    <mergeCell ref="F393:G393"/>
    <mergeCell ref="F378:G378"/>
    <mergeCell ref="F379:G379"/>
    <mergeCell ref="F380:G380"/>
    <mergeCell ref="F389:G389"/>
    <mergeCell ref="F502:G502"/>
    <mergeCell ref="F744:G744"/>
    <mergeCell ref="F735:G735"/>
    <mergeCell ref="F604:G604"/>
    <mergeCell ref="F605:G605"/>
    <mergeCell ref="F606:G606"/>
    <mergeCell ref="F723:G723"/>
    <mergeCell ref="F741:G741"/>
    <mergeCell ref="F672:G672"/>
    <mergeCell ref="F529:G529"/>
    <mergeCell ref="F530:G530"/>
    <mergeCell ref="F546:G546"/>
    <mergeCell ref="F547:G547"/>
    <mergeCell ref="F548:G548"/>
    <mergeCell ref="F521:G521"/>
    <mergeCell ref="F537:G537"/>
    <mergeCell ref="F538:G538"/>
    <mergeCell ref="F545:G545"/>
    <mergeCell ref="F532:G532"/>
    <mergeCell ref="F539:G539"/>
    <mergeCell ref="F540:G540"/>
    <mergeCell ref="F541:G541"/>
    <mergeCell ref="F505:G505"/>
    <mergeCell ref="F511:G511"/>
    <mergeCell ref="F512:G512"/>
    <mergeCell ref="F513:G513"/>
    <mergeCell ref="F519:G519"/>
    <mergeCell ref="F520:G520"/>
    <mergeCell ref="F857:G857"/>
    <mergeCell ref="F595:G595"/>
    <mergeCell ref="F596:G596"/>
    <mergeCell ref="F597:G597"/>
    <mergeCell ref="F598:G598"/>
    <mergeCell ref="F599:G599"/>
    <mergeCell ref="F850:G850"/>
    <mergeCell ref="F851:G851"/>
    <mergeCell ref="F779:G779"/>
    <mergeCell ref="F780:G780"/>
    <mergeCell ref="F633:G633"/>
    <mergeCell ref="F640:G640"/>
    <mergeCell ref="F641:G641"/>
    <mergeCell ref="F642:G642"/>
    <mergeCell ref="F622:G622"/>
    <mergeCell ref="F814:G814"/>
    <mergeCell ref="F839:G839"/>
    <mergeCell ref="F840:G840"/>
    <mergeCell ref="F841:G841"/>
    <mergeCell ref="F848:G848"/>
    <mergeCell ref="F506:G506"/>
    <mergeCell ref="F507:G507"/>
    <mergeCell ref="F767:G767"/>
    <mergeCell ref="F1191:G1191"/>
    <mergeCell ref="F1192:G1192"/>
    <mergeCell ref="F1193:G1193"/>
    <mergeCell ref="F1194:G1194"/>
    <mergeCell ref="F1157:G1157"/>
    <mergeCell ref="F1158:G1158"/>
    <mergeCell ref="F1159:G1159"/>
    <mergeCell ref="F1165:G1165"/>
    <mergeCell ref="F1121:G1121"/>
    <mergeCell ref="F1122:G1122"/>
    <mergeCell ref="F1129:G1129"/>
    <mergeCell ref="F1130:G1130"/>
    <mergeCell ref="F1137:G1137"/>
    <mergeCell ref="F1145:G1145"/>
    <mergeCell ref="F1134:G1134"/>
    <mergeCell ref="F1127:G1127"/>
    <mergeCell ref="F1128:G1128"/>
    <mergeCell ref="F1160:G1160"/>
    <mergeCell ref="F1161:G1161"/>
    <mergeCell ref="F1168:G1168"/>
    <mergeCell ref="F1169:G1169"/>
    <mergeCell ref="F849:G849"/>
    <mergeCell ref="F766:G766"/>
    <mergeCell ref="F1175:G1175"/>
    <mergeCell ref="F1190:G1190"/>
    <mergeCell ref="F1080:G1080"/>
    <mergeCell ref="F1071:G1071"/>
    <mergeCell ref="F1067:G1067"/>
    <mergeCell ref="F1081:G1081"/>
    <mergeCell ref="F1095:G1095"/>
    <mergeCell ref="F1096:G1096"/>
    <mergeCell ref="F1097:G1097"/>
    <mergeCell ref="F1098:G1098"/>
    <mergeCell ref="F1099:G1099"/>
    <mergeCell ref="F1150:G1150"/>
    <mergeCell ref="F1151:G1151"/>
    <mergeCell ref="F1103:G1103"/>
    <mergeCell ref="F1104:G1104"/>
    <mergeCell ref="F1105:G1105"/>
    <mergeCell ref="F768:G768"/>
    <mergeCell ref="F891:G891"/>
    <mergeCell ref="F804:G804"/>
    <mergeCell ref="F805:G805"/>
    <mergeCell ref="F806:G806"/>
    <mergeCell ref="F807:G807"/>
  </mergeCells>
  <printOptions horizontalCentered="1"/>
  <pageMargins left="0.39370078740157483" right="0.39370078740157483" top="0.59055118110236227" bottom="0.98425196850393704" header="0.31496062992125984" footer="0.31496062992125984"/>
  <pageSetup paperSize="9" scale="58" orientation="portrait" r:id="rId1"/>
  <headerFooter>
    <oddFooter>&amp;L&amp;"Arial Narrow,Normal"&amp;10&amp;A
&amp;F&amp;C&amp;"Arial Narrow,Negrito"&amp;10ENG. CIVIL THIAGO ALVES SILVA&amp;"Arial Narrow,Normal"
CREA 1004804750/D-GO&amp;R&amp;9Página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tabColor theme="6"/>
  </sheetPr>
  <dimension ref="B1:AM60"/>
  <sheetViews>
    <sheetView showGridLines="0" showZeros="0" view="pageBreakPreview" topLeftCell="A19" zoomScale="85" zoomScaleNormal="120" zoomScaleSheetLayoutView="85" workbookViewId="0">
      <selection activeCell="C13" sqref="C13:C15"/>
    </sheetView>
  </sheetViews>
  <sheetFormatPr defaultColWidth="9.140625" defaultRowHeight="12.75" x14ac:dyDescent="0.25"/>
  <cols>
    <col min="1" max="1" width="1.5703125" style="58" customWidth="1"/>
    <col min="2" max="2" width="9.85546875" style="58" customWidth="1"/>
    <col min="3" max="3" width="45.140625" style="58" customWidth="1"/>
    <col min="4" max="4" width="16.140625" style="58" customWidth="1"/>
    <col min="5" max="36" width="3.5703125" style="58" customWidth="1"/>
    <col min="37" max="37" width="1.5703125" style="58" customWidth="1"/>
    <col min="38" max="16384" width="9.140625" style="58"/>
  </cols>
  <sheetData>
    <row r="1" spans="2:39" s="21" customFormat="1" ht="9.9499999999999993" customHeight="1" x14ac:dyDescent="0.25">
      <c r="B1" s="468" t="s">
        <v>339</v>
      </c>
      <c r="C1" s="468"/>
      <c r="D1" s="468"/>
      <c r="E1" s="468"/>
      <c r="F1" s="468"/>
      <c r="G1" s="468"/>
      <c r="H1" s="468"/>
      <c r="I1" s="468"/>
      <c r="J1" s="468"/>
      <c r="K1" s="468"/>
      <c r="L1" s="468"/>
      <c r="M1" s="468"/>
      <c r="N1" s="468"/>
      <c r="O1" s="468"/>
      <c r="P1" s="468"/>
      <c r="Q1" s="468"/>
      <c r="R1" s="468"/>
      <c r="S1" s="468"/>
      <c r="T1" s="468"/>
      <c r="U1" s="468"/>
      <c r="V1" s="468"/>
      <c r="W1" s="468"/>
      <c r="X1" s="468"/>
      <c r="Y1" s="468"/>
      <c r="Z1" s="468"/>
      <c r="AA1" s="468"/>
      <c r="AB1" s="468"/>
      <c r="AC1" s="468"/>
      <c r="AD1" s="468"/>
      <c r="AE1" s="468"/>
      <c r="AF1" s="468"/>
      <c r="AG1" s="468"/>
      <c r="AH1" s="468"/>
      <c r="AI1" s="468"/>
      <c r="AJ1" s="468"/>
    </row>
    <row r="2" spans="2:39" s="21" customFormat="1" ht="9.9499999999999993" customHeight="1" x14ac:dyDescent="0.25"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468"/>
      <c r="Q2" s="468"/>
      <c r="R2" s="468"/>
      <c r="S2" s="468"/>
      <c r="T2" s="468"/>
      <c r="U2" s="468"/>
      <c r="V2" s="468"/>
      <c r="W2" s="468"/>
      <c r="X2" s="468"/>
      <c r="Y2" s="468"/>
      <c r="Z2" s="468"/>
      <c r="AA2" s="468"/>
      <c r="AB2" s="468"/>
      <c r="AC2" s="468"/>
      <c r="AD2" s="468"/>
      <c r="AE2" s="468"/>
      <c r="AF2" s="468"/>
      <c r="AG2" s="468"/>
      <c r="AH2" s="468"/>
      <c r="AI2" s="468"/>
      <c r="AJ2" s="468"/>
    </row>
    <row r="3" spans="2:39" s="21" customFormat="1" ht="9.9499999999999993" customHeight="1" x14ac:dyDescent="0.25">
      <c r="B3" s="468"/>
      <c r="C3" s="468"/>
      <c r="D3" s="468"/>
      <c r="E3" s="468"/>
      <c r="F3" s="468"/>
      <c r="G3" s="468"/>
      <c r="H3" s="468"/>
      <c r="I3" s="468"/>
      <c r="J3" s="468"/>
      <c r="K3" s="468"/>
      <c r="L3" s="468"/>
      <c r="M3" s="468"/>
      <c r="N3" s="468"/>
      <c r="O3" s="468"/>
      <c r="P3" s="468"/>
      <c r="Q3" s="468"/>
      <c r="R3" s="468"/>
      <c r="S3" s="468"/>
      <c r="T3" s="468"/>
      <c r="U3" s="468"/>
      <c r="V3" s="468"/>
      <c r="W3" s="468"/>
      <c r="X3" s="468"/>
      <c r="Y3" s="468"/>
      <c r="Z3" s="468"/>
      <c r="AA3" s="468"/>
      <c r="AB3" s="468"/>
      <c r="AC3" s="468"/>
      <c r="AD3" s="468"/>
      <c r="AE3" s="468"/>
      <c r="AF3" s="468"/>
      <c r="AG3" s="468"/>
      <c r="AH3" s="468"/>
      <c r="AI3" s="468"/>
      <c r="AJ3" s="468"/>
    </row>
    <row r="4" spans="2:39" s="21" customFormat="1" ht="9.9499999999999993" customHeight="1" x14ac:dyDescent="0.25">
      <c r="B4" s="468"/>
      <c r="C4" s="468"/>
      <c r="D4" s="468"/>
      <c r="E4" s="468"/>
      <c r="F4" s="468"/>
      <c r="G4" s="468"/>
      <c r="H4" s="468"/>
      <c r="I4" s="468"/>
      <c r="J4" s="468"/>
      <c r="K4" s="468"/>
      <c r="L4" s="468"/>
      <c r="M4" s="468"/>
      <c r="N4" s="468"/>
      <c r="O4" s="468"/>
      <c r="P4" s="468"/>
      <c r="Q4" s="468"/>
      <c r="R4" s="468"/>
      <c r="S4" s="468"/>
      <c r="T4" s="468"/>
      <c r="U4" s="468"/>
      <c r="V4" s="468"/>
      <c r="W4" s="468"/>
      <c r="X4" s="468"/>
      <c r="Y4" s="468"/>
      <c r="Z4" s="468"/>
      <c r="AA4" s="468"/>
      <c r="AB4" s="468"/>
      <c r="AC4" s="468"/>
      <c r="AD4" s="468"/>
      <c r="AE4" s="468"/>
      <c r="AF4" s="468"/>
      <c r="AG4" s="468"/>
      <c r="AH4" s="468"/>
      <c r="AI4" s="468"/>
      <c r="AJ4" s="468"/>
    </row>
    <row r="5" spans="2:39" s="21" customFormat="1" ht="9.9499999999999993" customHeight="1" x14ac:dyDescent="0.25">
      <c r="B5" s="468"/>
      <c r="C5" s="468"/>
      <c r="D5" s="468"/>
      <c r="E5" s="468"/>
      <c r="F5" s="468"/>
      <c r="G5" s="468"/>
      <c r="H5" s="468"/>
      <c r="I5" s="468"/>
      <c r="J5" s="468"/>
      <c r="K5" s="468"/>
      <c r="L5" s="468"/>
      <c r="M5" s="468"/>
      <c r="N5" s="468"/>
      <c r="O5" s="468"/>
      <c r="P5" s="468"/>
      <c r="Q5" s="468"/>
      <c r="R5" s="468"/>
      <c r="S5" s="468"/>
      <c r="T5" s="468"/>
      <c r="U5" s="468"/>
      <c r="V5" s="468"/>
      <c r="W5" s="468"/>
      <c r="X5" s="468"/>
      <c r="Y5" s="468"/>
      <c r="Z5" s="468"/>
      <c r="AA5" s="468"/>
      <c r="AB5" s="468"/>
      <c r="AC5" s="468"/>
      <c r="AD5" s="468"/>
      <c r="AE5" s="468"/>
      <c r="AF5" s="468"/>
      <c r="AG5" s="468"/>
      <c r="AH5" s="468"/>
      <c r="AI5" s="468"/>
      <c r="AJ5" s="468"/>
    </row>
    <row r="6" spans="2:39" s="21" customFormat="1" ht="9.9499999999999993" customHeight="1" x14ac:dyDescent="0.25">
      <c r="B6" s="468"/>
      <c r="C6" s="468"/>
      <c r="D6" s="468"/>
      <c r="E6" s="468"/>
      <c r="F6" s="468"/>
      <c r="G6" s="468"/>
      <c r="H6" s="468"/>
      <c r="I6" s="468"/>
      <c r="J6" s="468"/>
      <c r="K6" s="468"/>
      <c r="L6" s="468"/>
      <c r="M6" s="468"/>
      <c r="N6" s="468"/>
      <c r="O6" s="468"/>
      <c r="P6" s="468"/>
      <c r="Q6" s="468"/>
      <c r="R6" s="468"/>
      <c r="S6" s="468"/>
      <c r="T6" s="468"/>
      <c r="U6" s="468"/>
      <c r="V6" s="468"/>
      <c r="W6" s="468"/>
      <c r="X6" s="468"/>
      <c r="Y6" s="468"/>
      <c r="Z6" s="468"/>
      <c r="AA6" s="468"/>
      <c r="AB6" s="468"/>
      <c r="AC6" s="468"/>
      <c r="AD6" s="468"/>
      <c r="AE6" s="468"/>
      <c r="AF6" s="468"/>
      <c r="AG6" s="468"/>
      <c r="AH6" s="468"/>
      <c r="AI6" s="468"/>
      <c r="AJ6" s="468"/>
    </row>
    <row r="7" spans="2:39" s="21" customFormat="1" ht="14.45" customHeight="1" x14ac:dyDescent="0.25">
      <c r="C7" s="22"/>
      <c r="AD7" s="136" t="s">
        <v>137</v>
      </c>
      <c r="AE7" s="9"/>
      <c r="AF7" s="9"/>
      <c r="AG7" s="10" t="str">
        <f>+'ORÇ. SINTÉTICO ONERADO'!S8</f>
        <v>ENCARGOS SOCIAIS HORISTAS:</v>
      </c>
      <c r="AH7" s="539">
        <f>+'ORÇ. SINTÉTICO ONERADO'!T8</f>
        <v>1.1186</v>
      </c>
      <c r="AI7" s="539"/>
      <c r="AJ7" s="539"/>
    </row>
    <row r="8" spans="2:39" s="12" customFormat="1" ht="15" customHeight="1" x14ac:dyDescent="0.25">
      <c r="B8" s="8" t="s">
        <v>50</v>
      </c>
      <c r="C8" s="13" t="str">
        <f>'DADOS DA OBRA'!$B$13</f>
        <v>TRIBUNAL REGIONAL ELEITORAL - PIAUÍ</v>
      </c>
      <c r="I8" s="9"/>
      <c r="J8" s="9"/>
      <c r="K8" s="9"/>
      <c r="R8" s="10" t="s">
        <v>146</v>
      </c>
      <c r="T8" s="11" t="str">
        <f>+'DADOS DA OBRA'!$N$25</f>
        <v>22/11/2021</v>
      </c>
      <c r="AC8" s="9"/>
      <c r="AD8" s="9"/>
      <c r="AG8" s="10" t="str">
        <f>+'ORÇ. SINTÉTICO ONERADO'!S9</f>
        <v>ENCARGOS SOCIAIS MENSALISTAS:</v>
      </c>
      <c r="AH8" s="539">
        <f>+'ORÇ. SINTÉTICO ONERADO'!T9</f>
        <v>0.70630000000000004</v>
      </c>
      <c r="AI8" s="539"/>
      <c r="AJ8" s="539"/>
    </row>
    <row r="9" spans="2:39" s="12" customFormat="1" ht="15" customHeight="1" x14ac:dyDescent="0.25">
      <c r="B9" s="8" t="s">
        <v>69</v>
      </c>
      <c r="C9" s="13" t="str">
        <f>'DADOS DA OBRA'!$B$16</f>
        <v>ADEQUAÇÃO DE INSTALAÇÕES ELÉTRICAS E CABEAMENTO ESTRUTURADO - EDIFÍCIO SEDE</v>
      </c>
      <c r="R9" s="10" t="s">
        <v>52</v>
      </c>
      <c r="S9" s="505">
        <f>'DADOS DA OBRA'!$N$28</f>
        <v>44733</v>
      </c>
      <c r="T9" s="505"/>
      <c r="U9" s="505"/>
      <c r="AG9" s="10" t="str">
        <f>+'ORÇ. SINTÉTICO ONERADO'!S10</f>
        <v>BDI OBRA:</v>
      </c>
      <c r="AH9" s="539">
        <f>+'ORÇ. SINTÉTICO ONERADO'!T10</f>
        <v>0.21960000000000002</v>
      </c>
      <c r="AI9" s="539"/>
      <c r="AJ9" s="539"/>
    </row>
    <row r="10" spans="2:39" s="12" customFormat="1" ht="15" customHeight="1" x14ac:dyDescent="0.25">
      <c r="B10" s="8" t="s">
        <v>53</v>
      </c>
      <c r="C10" s="9" t="str">
        <f>+""&amp;'DADOS DA OBRA'!$B$19&amp;", "&amp;'DADOS DA OBRA'!$J$22&amp;", "&amp;'DADOS DA OBRA'!$P$22</f>
        <v>PRAÇA EDGAR NOGUEIRA, TERESINA, PI</v>
      </c>
      <c r="D10" s="9"/>
      <c r="R10" s="10" t="s">
        <v>147</v>
      </c>
      <c r="T10" s="11" t="str">
        <f>+'DADOS DA OBRA'!$B$28</f>
        <v>05 MESES</v>
      </c>
      <c r="AG10" s="10" t="str">
        <f>+'ORÇ. SINTÉTICO ONERADO'!S11</f>
        <v>BDI DIFERENCIADO:</v>
      </c>
      <c r="AH10" s="539">
        <f>+'ORÇ. SINTÉTICO ONERADO'!T11</f>
        <v>0.1527</v>
      </c>
      <c r="AI10" s="539"/>
      <c r="AJ10" s="539"/>
    </row>
    <row r="11" spans="2:39" s="12" customFormat="1" ht="40.700000000000003" customHeight="1" x14ac:dyDescent="0.25">
      <c r="B11" s="8" t="s">
        <v>70</v>
      </c>
      <c r="C11" s="480" t="str">
        <f>+'DADOS DA OBRA'!$B$31</f>
        <v>SINAPI - 04/2022 - PIAUÍ   	SBC - 05/2022 - TSA - Teresina - PI  ORSE - 03/2022 - SERGIPE      ETOP - 03/2022 - Minas Gerais - Central SUDECAP - 02/2022 - MINAS GERAIS    CPOS - 02/2022 - São Paulo AGESUL - 01/2022 - MATO GROSSO DO SUL     GETOP CIVIL - 04/2022 - Goiás EMOP - 04/2022 - RIO DE JANEIRO</v>
      </c>
      <c r="D11" s="480"/>
      <c r="E11" s="480"/>
      <c r="F11" s="480"/>
      <c r="G11" s="480"/>
      <c r="H11" s="480"/>
      <c r="I11" s="480"/>
      <c r="J11" s="480"/>
      <c r="K11" s="480"/>
      <c r="L11" s="480"/>
      <c r="M11" s="480"/>
      <c r="N11" s="480"/>
      <c r="O11" s="480"/>
      <c r="P11" s="480"/>
      <c r="Q11" s="480"/>
      <c r="R11" s="480"/>
      <c r="S11" s="480"/>
      <c r="T11" s="480"/>
      <c r="U11" s="480"/>
      <c r="V11" s="480"/>
      <c r="W11" s="480"/>
      <c r="X11" s="480"/>
      <c r="Y11" s="480"/>
      <c r="Z11" s="480"/>
      <c r="AA11" s="480"/>
      <c r="AB11" s="480"/>
      <c r="AC11" s="480"/>
      <c r="AD11" s="480"/>
      <c r="AE11" s="480"/>
      <c r="AF11" s="480"/>
      <c r="AG11" s="10">
        <f>+'ORÇ. SINTÉTICO ONERADO'!BG11</f>
        <v>0</v>
      </c>
      <c r="AH11" s="539">
        <f>+'ORÇ. SINTÉTICO ONERADO'!BH11</f>
        <v>0</v>
      </c>
      <c r="AI11" s="539"/>
      <c r="AJ11" s="539"/>
    </row>
    <row r="12" spans="2:39" s="20" customFormat="1" ht="6.95" customHeight="1" thickBot="1" x14ac:dyDescent="0.3">
      <c r="C12" s="84"/>
      <c r="AG12" s="76"/>
      <c r="AH12" s="77"/>
      <c r="AI12" s="77"/>
    </row>
    <row r="13" spans="2:39" s="59" customFormat="1" ht="20.100000000000001" customHeight="1" thickBot="1" x14ac:dyDescent="0.3">
      <c r="B13" s="558" t="s">
        <v>21</v>
      </c>
      <c r="C13" s="561" t="s">
        <v>95</v>
      </c>
      <c r="D13" s="564" t="s">
        <v>96</v>
      </c>
      <c r="E13" s="544" t="s">
        <v>97</v>
      </c>
      <c r="F13" s="545"/>
      <c r="G13" s="545"/>
      <c r="H13" s="545"/>
      <c r="I13" s="545"/>
      <c r="J13" s="545"/>
      <c r="K13" s="545"/>
      <c r="L13" s="545"/>
      <c r="M13" s="545"/>
      <c r="N13" s="545"/>
      <c r="O13" s="545"/>
      <c r="P13" s="545"/>
      <c r="Q13" s="545"/>
      <c r="R13" s="545"/>
      <c r="S13" s="545"/>
      <c r="T13" s="545"/>
      <c r="U13" s="545"/>
      <c r="V13" s="545"/>
      <c r="W13" s="545"/>
      <c r="X13" s="545"/>
      <c r="Y13" s="545"/>
      <c r="Z13" s="545"/>
      <c r="AA13" s="545"/>
      <c r="AB13" s="545"/>
      <c r="AC13" s="545"/>
      <c r="AD13" s="545"/>
      <c r="AE13" s="545"/>
      <c r="AF13" s="545"/>
      <c r="AG13" s="545"/>
      <c r="AH13" s="545"/>
      <c r="AI13" s="545"/>
      <c r="AJ13" s="546"/>
    </row>
    <row r="14" spans="2:39" s="59" customFormat="1" ht="18" customHeight="1" x14ac:dyDescent="0.25">
      <c r="B14" s="559"/>
      <c r="C14" s="562"/>
      <c r="D14" s="565"/>
      <c r="E14" s="567" t="s">
        <v>98</v>
      </c>
      <c r="F14" s="541"/>
      <c r="G14" s="541"/>
      <c r="H14" s="542"/>
      <c r="I14" s="540" t="s">
        <v>99</v>
      </c>
      <c r="J14" s="541"/>
      <c r="K14" s="541"/>
      <c r="L14" s="542"/>
      <c r="M14" s="540" t="s">
        <v>100</v>
      </c>
      <c r="N14" s="541"/>
      <c r="O14" s="541"/>
      <c r="P14" s="542"/>
      <c r="Q14" s="540" t="s">
        <v>135</v>
      </c>
      <c r="R14" s="541"/>
      <c r="S14" s="541"/>
      <c r="T14" s="542"/>
      <c r="U14" s="540" t="s">
        <v>136</v>
      </c>
      <c r="V14" s="541"/>
      <c r="W14" s="541"/>
      <c r="X14" s="542"/>
      <c r="Y14" s="540" t="s">
        <v>101</v>
      </c>
      <c r="Z14" s="541"/>
      <c r="AA14" s="541"/>
      <c r="AB14" s="542"/>
      <c r="AC14" s="540" t="s">
        <v>236</v>
      </c>
      <c r="AD14" s="541"/>
      <c r="AE14" s="541"/>
      <c r="AF14" s="542"/>
      <c r="AG14" s="540" t="s">
        <v>237</v>
      </c>
      <c r="AH14" s="541"/>
      <c r="AI14" s="541"/>
      <c r="AJ14" s="543"/>
    </row>
    <row r="15" spans="2:39" s="59" customFormat="1" ht="18" customHeight="1" thickBot="1" x14ac:dyDescent="0.3">
      <c r="B15" s="560"/>
      <c r="C15" s="563"/>
      <c r="D15" s="566"/>
      <c r="E15" s="245" t="s">
        <v>148</v>
      </c>
      <c r="F15" s="246" t="s">
        <v>149</v>
      </c>
      <c r="G15" s="246" t="s">
        <v>150</v>
      </c>
      <c r="H15" s="247" t="s">
        <v>151</v>
      </c>
      <c r="I15" s="248" t="s">
        <v>152</v>
      </c>
      <c r="J15" s="246" t="s">
        <v>153</v>
      </c>
      <c r="K15" s="246" t="s">
        <v>154</v>
      </c>
      <c r="L15" s="247" t="s">
        <v>155</v>
      </c>
      <c r="M15" s="248" t="s">
        <v>156</v>
      </c>
      <c r="N15" s="246" t="s">
        <v>157</v>
      </c>
      <c r="O15" s="246" t="s">
        <v>158</v>
      </c>
      <c r="P15" s="247" t="s">
        <v>159</v>
      </c>
      <c r="Q15" s="248" t="s">
        <v>160</v>
      </c>
      <c r="R15" s="246" t="s">
        <v>161</v>
      </c>
      <c r="S15" s="246" t="s">
        <v>162</v>
      </c>
      <c r="T15" s="247" t="s">
        <v>163</v>
      </c>
      <c r="U15" s="248" t="s">
        <v>164</v>
      </c>
      <c r="V15" s="246" t="s">
        <v>165</v>
      </c>
      <c r="W15" s="246" t="s">
        <v>166</v>
      </c>
      <c r="X15" s="247" t="s">
        <v>167</v>
      </c>
      <c r="Y15" s="248" t="s">
        <v>168</v>
      </c>
      <c r="Z15" s="246" t="s">
        <v>169</v>
      </c>
      <c r="AA15" s="246" t="s">
        <v>170</v>
      </c>
      <c r="AB15" s="247" t="s">
        <v>171</v>
      </c>
      <c r="AC15" s="248" t="s">
        <v>228</v>
      </c>
      <c r="AD15" s="246" t="s">
        <v>229</v>
      </c>
      <c r="AE15" s="246" t="s">
        <v>230</v>
      </c>
      <c r="AF15" s="247" t="s">
        <v>231</v>
      </c>
      <c r="AG15" s="248" t="s">
        <v>232</v>
      </c>
      <c r="AH15" s="246" t="s">
        <v>233</v>
      </c>
      <c r="AI15" s="246" t="s">
        <v>234</v>
      </c>
      <c r="AJ15" s="249" t="s">
        <v>235</v>
      </c>
    </row>
    <row r="16" spans="2:39" ht="18" customHeight="1" x14ac:dyDescent="0.25">
      <c r="B16" s="506">
        <v>1</v>
      </c>
      <c r="C16" s="557" t="str">
        <f>RESUMO!C16</f>
        <v>ADMINISTRAÇÃO</v>
      </c>
      <c r="D16" s="91">
        <f>RESUMO!J16</f>
        <v>161233.35999999999</v>
      </c>
      <c r="E16" s="547">
        <f>E18*$D16</f>
        <v>29344.471519999996</v>
      </c>
      <c r="F16" s="548"/>
      <c r="G16" s="548"/>
      <c r="H16" s="550"/>
      <c r="I16" s="547">
        <f>I18*$D16</f>
        <v>33713.895575999995</v>
      </c>
      <c r="J16" s="548"/>
      <c r="K16" s="548"/>
      <c r="L16" s="550"/>
      <c r="M16" s="547">
        <f>M18*$D16</f>
        <v>33713.895575999995</v>
      </c>
      <c r="N16" s="548"/>
      <c r="O16" s="548"/>
      <c r="P16" s="550"/>
      <c r="Q16" s="547">
        <f>Q18*$D16</f>
        <v>33713.895575999995</v>
      </c>
      <c r="R16" s="548"/>
      <c r="S16" s="548"/>
      <c r="T16" s="550"/>
      <c r="U16" s="547">
        <f>U18*$D16</f>
        <v>30747.201751999997</v>
      </c>
      <c r="V16" s="548"/>
      <c r="W16" s="548"/>
      <c r="X16" s="550"/>
      <c r="Y16" s="547">
        <f>Y18*$D16</f>
        <v>0</v>
      </c>
      <c r="Z16" s="548"/>
      <c r="AA16" s="548"/>
      <c r="AB16" s="550"/>
      <c r="AC16" s="547">
        <f>AC18*$D16</f>
        <v>0</v>
      </c>
      <c r="AD16" s="548"/>
      <c r="AE16" s="548"/>
      <c r="AF16" s="550"/>
      <c r="AG16" s="547">
        <f>AG18*$D16</f>
        <v>0</v>
      </c>
      <c r="AH16" s="548"/>
      <c r="AI16" s="548"/>
      <c r="AJ16" s="549"/>
      <c r="AK16" s="59"/>
      <c r="AL16" s="260"/>
      <c r="AM16" s="260"/>
    </row>
    <row r="17" spans="2:39" ht="8.1" customHeight="1" x14ac:dyDescent="0.25">
      <c r="B17" s="506"/>
      <c r="C17" s="509"/>
      <c r="D17" s="91"/>
      <c r="E17" s="129"/>
      <c r="F17" s="130"/>
      <c r="G17" s="130"/>
      <c r="H17" s="131"/>
      <c r="I17" s="129"/>
      <c r="J17" s="130"/>
      <c r="K17" s="130"/>
      <c r="L17" s="131"/>
      <c r="M17" s="129"/>
      <c r="N17" s="130"/>
      <c r="O17" s="130"/>
      <c r="P17" s="131"/>
      <c r="Q17" s="129"/>
      <c r="R17" s="130"/>
      <c r="S17" s="130"/>
      <c r="T17" s="131"/>
      <c r="U17" s="129"/>
      <c r="V17" s="130"/>
      <c r="W17" s="130"/>
      <c r="X17" s="131"/>
      <c r="Y17" s="132"/>
      <c r="Z17" s="133"/>
      <c r="AA17" s="133"/>
      <c r="AB17" s="134"/>
      <c r="AC17" s="132"/>
      <c r="AD17" s="133"/>
      <c r="AE17" s="133"/>
      <c r="AF17" s="134"/>
      <c r="AG17" s="132"/>
      <c r="AH17" s="133"/>
      <c r="AI17" s="133"/>
      <c r="AJ17" s="135"/>
    </row>
    <row r="18" spans="2:39" ht="18" customHeight="1" x14ac:dyDescent="0.25">
      <c r="B18" s="507"/>
      <c r="C18" s="510"/>
      <c r="D18" s="96">
        <f>SUM(E18:X18)</f>
        <v>1.0000000000000002</v>
      </c>
      <c r="E18" s="514">
        <v>0.182</v>
      </c>
      <c r="F18" s="515"/>
      <c r="G18" s="515"/>
      <c r="H18" s="516"/>
      <c r="I18" s="514">
        <v>0.20910000000000001</v>
      </c>
      <c r="J18" s="515"/>
      <c r="K18" s="515"/>
      <c r="L18" s="516"/>
      <c r="M18" s="514">
        <v>0.20910000000000001</v>
      </c>
      <c r="N18" s="515"/>
      <c r="O18" s="515"/>
      <c r="P18" s="516"/>
      <c r="Q18" s="514">
        <v>0.20910000000000001</v>
      </c>
      <c r="R18" s="515"/>
      <c r="S18" s="515"/>
      <c r="T18" s="516"/>
      <c r="U18" s="514">
        <v>0.19070000000000001</v>
      </c>
      <c r="V18" s="515"/>
      <c r="W18" s="515"/>
      <c r="X18" s="516"/>
      <c r="Y18" s="514"/>
      <c r="Z18" s="515"/>
      <c r="AA18" s="515"/>
      <c r="AB18" s="516"/>
      <c r="AC18" s="514"/>
      <c r="AD18" s="515"/>
      <c r="AE18" s="515"/>
      <c r="AF18" s="516"/>
      <c r="AG18" s="514"/>
      <c r="AH18" s="515"/>
      <c r="AI18" s="515"/>
      <c r="AJ18" s="517"/>
    </row>
    <row r="19" spans="2:39" ht="18" customHeight="1" x14ac:dyDescent="0.25">
      <c r="B19" s="506">
        <v>2</v>
      </c>
      <c r="C19" s="508" t="str">
        <f>RESUMO!C17</f>
        <v>CANTEIRO</v>
      </c>
      <c r="D19" s="91">
        <f>RESUMO!J17</f>
        <v>26197.93</v>
      </c>
      <c r="E19" s="535">
        <f>E21*$D19</f>
        <v>4768.0232599999999</v>
      </c>
      <c r="F19" s="536"/>
      <c r="G19" s="536"/>
      <c r="H19" s="537"/>
      <c r="I19" s="535">
        <f>I21*$D19</f>
        <v>5477.9871630000007</v>
      </c>
      <c r="J19" s="536"/>
      <c r="K19" s="536"/>
      <c r="L19" s="537"/>
      <c r="M19" s="535">
        <f>M21*$D19</f>
        <v>5477.9871630000007</v>
      </c>
      <c r="N19" s="536"/>
      <c r="O19" s="536"/>
      <c r="P19" s="537"/>
      <c r="Q19" s="535">
        <f>Q21*$D19</f>
        <v>5477.9871630000007</v>
      </c>
      <c r="R19" s="536"/>
      <c r="S19" s="536"/>
      <c r="T19" s="537"/>
      <c r="U19" s="535">
        <f>U21*$D19</f>
        <v>4995.9452510000001</v>
      </c>
      <c r="V19" s="536"/>
      <c r="W19" s="536"/>
      <c r="X19" s="537"/>
      <c r="Y19" s="535">
        <f>Y21*$D19</f>
        <v>0</v>
      </c>
      <c r="Z19" s="536"/>
      <c r="AA19" s="536"/>
      <c r="AB19" s="537"/>
      <c r="AC19" s="535">
        <f>AC21*$D19</f>
        <v>0</v>
      </c>
      <c r="AD19" s="536"/>
      <c r="AE19" s="536"/>
      <c r="AF19" s="537"/>
      <c r="AG19" s="535">
        <f>AG21*$D19</f>
        <v>0</v>
      </c>
      <c r="AH19" s="536"/>
      <c r="AI19" s="536"/>
      <c r="AJ19" s="538"/>
      <c r="AL19" s="260"/>
      <c r="AM19" s="260"/>
    </row>
    <row r="20" spans="2:39" ht="8.1" customHeight="1" x14ac:dyDescent="0.25">
      <c r="B20" s="506"/>
      <c r="C20" s="509"/>
      <c r="D20" s="91"/>
      <c r="E20" s="129"/>
      <c r="F20" s="130"/>
      <c r="G20" s="130"/>
      <c r="H20" s="131"/>
      <c r="I20" s="129"/>
      <c r="J20" s="130"/>
      <c r="K20" s="130"/>
      <c r="L20" s="131"/>
      <c r="M20" s="129"/>
      <c r="N20" s="130"/>
      <c r="O20" s="130"/>
      <c r="P20" s="131"/>
      <c r="Q20" s="129"/>
      <c r="R20" s="130"/>
      <c r="S20" s="130"/>
      <c r="T20" s="131"/>
      <c r="U20" s="129"/>
      <c r="V20" s="130"/>
      <c r="W20" s="130"/>
      <c r="X20" s="131"/>
      <c r="Y20" s="132"/>
      <c r="Z20" s="133"/>
      <c r="AA20" s="133"/>
      <c r="AB20" s="134"/>
      <c r="AC20" s="132"/>
      <c r="AD20" s="133"/>
      <c r="AE20" s="133"/>
      <c r="AF20" s="134"/>
      <c r="AG20" s="132"/>
      <c r="AH20" s="133"/>
      <c r="AI20" s="133"/>
      <c r="AJ20" s="135"/>
    </row>
    <row r="21" spans="2:39" ht="18" customHeight="1" x14ac:dyDescent="0.25">
      <c r="B21" s="507"/>
      <c r="C21" s="510"/>
      <c r="D21" s="96">
        <f>SUM(E21:X21)</f>
        <v>1.0000000000000002</v>
      </c>
      <c r="E21" s="514">
        <f>+E18</f>
        <v>0.182</v>
      </c>
      <c r="F21" s="515"/>
      <c r="G21" s="515"/>
      <c r="H21" s="516"/>
      <c r="I21" s="514">
        <f t="shared" ref="I21" si="0">+I18</f>
        <v>0.20910000000000001</v>
      </c>
      <c r="J21" s="515"/>
      <c r="K21" s="515"/>
      <c r="L21" s="516"/>
      <c r="M21" s="514">
        <f t="shared" ref="M21" si="1">+M18</f>
        <v>0.20910000000000001</v>
      </c>
      <c r="N21" s="515"/>
      <c r="O21" s="515"/>
      <c r="P21" s="516"/>
      <c r="Q21" s="514">
        <f t="shared" ref="Q21" si="2">+Q18</f>
        <v>0.20910000000000001</v>
      </c>
      <c r="R21" s="515"/>
      <c r="S21" s="515"/>
      <c r="T21" s="516"/>
      <c r="U21" s="514">
        <v>0.19070000000000001</v>
      </c>
      <c r="V21" s="515"/>
      <c r="W21" s="515"/>
      <c r="X21" s="516"/>
      <c r="Y21" s="514"/>
      <c r="Z21" s="515"/>
      <c r="AA21" s="515"/>
      <c r="AB21" s="516"/>
      <c r="AC21" s="514"/>
      <c r="AD21" s="515"/>
      <c r="AE21" s="515"/>
      <c r="AF21" s="516"/>
      <c r="AG21" s="514"/>
      <c r="AH21" s="515"/>
      <c r="AI21" s="515"/>
      <c r="AJ21" s="517"/>
    </row>
    <row r="22" spans="2:39" ht="18" customHeight="1" x14ac:dyDescent="0.25">
      <c r="B22" s="506">
        <v>3</v>
      </c>
      <c r="C22" s="508" t="str">
        <f>RESUMO!C18</f>
        <v>DEMOLIÇÕES</v>
      </c>
      <c r="D22" s="91">
        <f>RESUMO!J18</f>
        <v>90075.099999999991</v>
      </c>
      <c r="E22" s="535">
        <f>E24*$D22</f>
        <v>45037.549999999996</v>
      </c>
      <c r="F22" s="536"/>
      <c r="G22" s="536"/>
      <c r="H22" s="537"/>
      <c r="I22" s="535">
        <f>I24*$D22</f>
        <v>45037.549999999996</v>
      </c>
      <c r="J22" s="536"/>
      <c r="K22" s="536"/>
      <c r="L22" s="537"/>
      <c r="M22" s="535">
        <f>M24*$D22</f>
        <v>0</v>
      </c>
      <c r="N22" s="536"/>
      <c r="O22" s="536"/>
      <c r="P22" s="537"/>
      <c r="Q22" s="535">
        <f>Q24*$D22</f>
        <v>0</v>
      </c>
      <c r="R22" s="536"/>
      <c r="S22" s="536"/>
      <c r="T22" s="537"/>
      <c r="U22" s="535">
        <f>U24*$D22</f>
        <v>0</v>
      </c>
      <c r="V22" s="536"/>
      <c r="W22" s="536"/>
      <c r="X22" s="537"/>
      <c r="Y22" s="535">
        <f>Y24*$D22</f>
        <v>0</v>
      </c>
      <c r="Z22" s="536"/>
      <c r="AA22" s="536"/>
      <c r="AB22" s="537"/>
      <c r="AC22" s="535">
        <f>AC24*$D22</f>
        <v>0</v>
      </c>
      <c r="AD22" s="536"/>
      <c r="AE22" s="536"/>
      <c r="AF22" s="537"/>
      <c r="AG22" s="535">
        <f>AG24*$D22</f>
        <v>0</v>
      </c>
      <c r="AH22" s="536"/>
      <c r="AI22" s="536"/>
      <c r="AJ22" s="538"/>
      <c r="AL22" s="260"/>
      <c r="AM22" s="260"/>
    </row>
    <row r="23" spans="2:39" ht="8.1" customHeight="1" x14ac:dyDescent="0.25">
      <c r="B23" s="506"/>
      <c r="C23" s="509"/>
      <c r="D23" s="91"/>
      <c r="E23" s="132"/>
      <c r="F23" s="130"/>
      <c r="G23" s="130"/>
      <c r="H23" s="131"/>
      <c r="I23" s="129"/>
      <c r="J23" s="130"/>
      <c r="K23" s="130"/>
      <c r="L23" s="131"/>
      <c r="M23" s="384"/>
      <c r="N23" s="385"/>
      <c r="O23" s="385"/>
      <c r="P23" s="386"/>
      <c r="Q23" s="384"/>
      <c r="R23" s="385"/>
      <c r="S23" s="385"/>
      <c r="T23" s="134"/>
      <c r="U23" s="132"/>
      <c r="V23" s="133"/>
      <c r="W23" s="133"/>
      <c r="X23" s="134"/>
      <c r="Y23" s="132"/>
      <c r="Z23" s="133"/>
      <c r="AA23" s="133"/>
      <c r="AB23" s="134"/>
      <c r="AC23" s="132"/>
      <c r="AD23" s="133"/>
      <c r="AE23" s="133"/>
      <c r="AF23" s="134"/>
      <c r="AG23" s="132"/>
      <c r="AH23" s="133"/>
      <c r="AI23" s="133"/>
      <c r="AJ23" s="135"/>
    </row>
    <row r="24" spans="2:39" ht="18" customHeight="1" x14ac:dyDescent="0.25">
      <c r="B24" s="507"/>
      <c r="C24" s="510"/>
      <c r="D24" s="96">
        <f>SUM(E24:X24)</f>
        <v>1</v>
      </c>
      <c r="E24" s="514">
        <v>0.5</v>
      </c>
      <c r="F24" s="515"/>
      <c r="G24" s="515"/>
      <c r="H24" s="516"/>
      <c r="I24" s="514">
        <v>0.5</v>
      </c>
      <c r="J24" s="515"/>
      <c r="K24" s="515"/>
      <c r="L24" s="516"/>
      <c r="M24" s="514"/>
      <c r="N24" s="515"/>
      <c r="O24" s="515"/>
      <c r="P24" s="516"/>
      <c r="Q24" s="514"/>
      <c r="R24" s="515"/>
      <c r="S24" s="515"/>
      <c r="T24" s="516"/>
      <c r="U24" s="514"/>
      <c r="V24" s="515"/>
      <c r="W24" s="515"/>
      <c r="X24" s="516"/>
      <c r="Y24" s="514"/>
      <c r="Z24" s="515"/>
      <c r="AA24" s="515"/>
      <c r="AB24" s="516"/>
      <c r="AC24" s="514"/>
      <c r="AD24" s="515"/>
      <c r="AE24" s="515"/>
      <c r="AF24" s="516"/>
      <c r="AG24" s="514"/>
      <c r="AH24" s="515"/>
      <c r="AI24" s="515"/>
      <c r="AJ24" s="517"/>
    </row>
    <row r="25" spans="2:39" ht="18" customHeight="1" x14ac:dyDescent="0.25">
      <c r="B25" s="506">
        <v>4</v>
      </c>
      <c r="C25" s="508" t="str">
        <f>RESUMO!C19</f>
        <v>FORROS</v>
      </c>
      <c r="D25" s="91">
        <f>RESUMO!J19</f>
        <v>90337.290000000008</v>
      </c>
      <c r="E25" s="535">
        <f>E27*$D25</f>
        <v>0</v>
      </c>
      <c r="F25" s="536"/>
      <c r="G25" s="536"/>
      <c r="H25" s="537"/>
      <c r="I25" s="535">
        <f>I27*$D25</f>
        <v>0</v>
      </c>
      <c r="J25" s="536"/>
      <c r="K25" s="536"/>
      <c r="L25" s="537"/>
      <c r="M25" s="535">
        <f>M27*$D25</f>
        <v>0</v>
      </c>
      <c r="N25" s="536"/>
      <c r="O25" s="536"/>
      <c r="P25" s="537"/>
      <c r="Q25" s="535">
        <f>Q27*$D25</f>
        <v>45168.645000000004</v>
      </c>
      <c r="R25" s="536"/>
      <c r="S25" s="536"/>
      <c r="T25" s="537"/>
      <c r="U25" s="535">
        <f>U27*$D25</f>
        <v>45168.645000000004</v>
      </c>
      <c r="V25" s="536"/>
      <c r="W25" s="536"/>
      <c r="X25" s="537"/>
      <c r="Y25" s="535">
        <f>Y27*$D25</f>
        <v>0</v>
      </c>
      <c r="Z25" s="536"/>
      <c r="AA25" s="536"/>
      <c r="AB25" s="537"/>
      <c r="AC25" s="535">
        <f>AC27*$D25</f>
        <v>0</v>
      </c>
      <c r="AD25" s="536"/>
      <c r="AE25" s="536"/>
      <c r="AF25" s="537"/>
      <c r="AG25" s="535">
        <f>AG27*$D25</f>
        <v>0</v>
      </c>
      <c r="AH25" s="536"/>
      <c r="AI25" s="536"/>
      <c r="AJ25" s="538"/>
      <c r="AL25" s="260"/>
      <c r="AM25" s="260"/>
    </row>
    <row r="26" spans="2:39" ht="8.1" customHeight="1" x14ac:dyDescent="0.25">
      <c r="B26" s="506"/>
      <c r="C26" s="509"/>
      <c r="D26" s="91"/>
      <c r="E26" s="132"/>
      <c r="F26" s="133"/>
      <c r="G26" s="133"/>
      <c r="H26" s="134"/>
      <c r="I26" s="384"/>
      <c r="J26" s="385"/>
      <c r="K26" s="385"/>
      <c r="L26" s="386"/>
      <c r="M26" s="384"/>
      <c r="N26" s="385"/>
      <c r="O26" s="385"/>
      <c r="P26" s="386"/>
      <c r="Q26" s="129"/>
      <c r="R26" s="130"/>
      <c r="S26" s="130"/>
      <c r="T26" s="131"/>
      <c r="U26" s="129"/>
      <c r="V26" s="130"/>
      <c r="W26" s="130"/>
      <c r="X26" s="131"/>
      <c r="Y26" s="132"/>
      <c r="Z26" s="133"/>
      <c r="AA26" s="133"/>
      <c r="AB26" s="134"/>
      <c r="AC26" s="132"/>
      <c r="AD26" s="133"/>
      <c r="AE26" s="133"/>
      <c r="AF26" s="134"/>
      <c r="AG26" s="132"/>
      <c r="AH26" s="133"/>
      <c r="AI26" s="133"/>
      <c r="AJ26" s="135"/>
    </row>
    <row r="27" spans="2:39" ht="18" customHeight="1" x14ac:dyDescent="0.25">
      <c r="B27" s="507"/>
      <c r="C27" s="510"/>
      <c r="D27" s="96">
        <f>SUM(E27:X27)</f>
        <v>1</v>
      </c>
      <c r="E27" s="514"/>
      <c r="F27" s="515"/>
      <c r="G27" s="515"/>
      <c r="H27" s="516"/>
      <c r="I27" s="514"/>
      <c r="J27" s="515"/>
      <c r="K27" s="515"/>
      <c r="L27" s="516"/>
      <c r="M27" s="514"/>
      <c r="N27" s="515"/>
      <c r="O27" s="515"/>
      <c r="P27" s="516"/>
      <c r="Q27" s="514">
        <v>0.5</v>
      </c>
      <c r="R27" s="515"/>
      <c r="S27" s="515"/>
      <c r="T27" s="516"/>
      <c r="U27" s="514">
        <v>0.5</v>
      </c>
      <c r="V27" s="515"/>
      <c r="W27" s="515"/>
      <c r="X27" s="516"/>
      <c r="Y27" s="514"/>
      <c r="Z27" s="515"/>
      <c r="AA27" s="515"/>
      <c r="AB27" s="516"/>
      <c r="AC27" s="514"/>
      <c r="AD27" s="515"/>
      <c r="AE27" s="515"/>
      <c r="AF27" s="516"/>
      <c r="AG27" s="514"/>
      <c r="AH27" s="515"/>
      <c r="AI27" s="515"/>
      <c r="AJ27" s="517"/>
    </row>
    <row r="28" spans="2:39" ht="18" customHeight="1" x14ac:dyDescent="0.25">
      <c r="B28" s="506">
        <v>5</v>
      </c>
      <c r="C28" s="508" t="str">
        <f>RESUMO!C20</f>
        <v>INSTALAÇÕES ELÉTRICAS</v>
      </c>
      <c r="D28" s="91">
        <f>RESUMO!J20</f>
        <v>286219.73</v>
      </c>
      <c r="E28" s="535">
        <f>E30*$D28</f>
        <v>100176.90549999999</v>
      </c>
      <c r="F28" s="536"/>
      <c r="G28" s="536"/>
      <c r="H28" s="537"/>
      <c r="I28" s="535">
        <f>I30*$D28</f>
        <v>100176.90549999999</v>
      </c>
      <c r="J28" s="536"/>
      <c r="K28" s="536"/>
      <c r="L28" s="537"/>
      <c r="M28" s="535">
        <f>M30*$D28</f>
        <v>85865.918999999994</v>
      </c>
      <c r="N28" s="536"/>
      <c r="O28" s="536"/>
      <c r="P28" s="537"/>
      <c r="Q28" s="535">
        <f t="shared" ref="Q28" si="3">Q30*$D28</f>
        <v>0</v>
      </c>
      <c r="R28" s="536"/>
      <c r="S28" s="536"/>
      <c r="T28" s="537"/>
      <c r="U28" s="535">
        <f t="shared" ref="U28" si="4">U30*$D28</f>
        <v>0</v>
      </c>
      <c r="V28" s="536"/>
      <c r="W28" s="536"/>
      <c r="X28" s="537"/>
      <c r="Y28" s="511"/>
      <c r="Z28" s="512"/>
      <c r="AA28" s="512"/>
      <c r="AB28" s="513"/>
      <c r="AC28" s="511"/>
      <c r="AD28" s="512"/>
      <c r="AE28" s="512"/>
      <c r="AF28" s="513"/>
      <c r="AG28" s="511"/>
      <c r="AH28" s="512"/>
      <c r="AI28" s="512"/>
      <c r="AJ28" s="518"/>
      <c r="AL28" s="260"/>
      <c r="AM28" s="260"/>
    </row>
    <row r="29" spans="2:39" x14ac:dyDescent="0.25">
      <c r="B29" s="506"/>
      <c r="C29" s="509"/>
      <c r="D29" s="91"/>
      <c r="E29" s="132"/>
      <c r="F29" s="133"/>
      <c r="G29" s="385"/>
      <c r="H29" s="131"/>
      <c r="I29" s="129"/>
      <c r="J29" s="130"/>
      <c r="K29" s="130"/>
      <c r="L29" s="131"/>
      <c r="M29" s="129"/>
      <c r="N29" s="385"/>
      <c r="O29" s="385"/>
      <c r="P29" s="386"/>
      <c r="Q29" s="384"/>
      <c r="R29" s="385"/>
      <c r="S29" s="385"/>
      <c r="T29" s="386"/>
      <c r="U29" s="384"/>
      <c r="V29" s="385"/>
      <c r="W29" s="385"/>
      <c r="X29" s="386"/>
      <c r="Y29" s="92"/>
      <c r="Z29" s="93"/>
      <c r="AA29" s="93"/>
      <c r="AB29" s="94"/>
      <c r="AC29" s="92"/>
      <c r="AD29" s="93"/>
      <c r="AE29" s="93"/>
      <c r="AF29" s="94"/>
      <c r="AG29" s="92"/>
      <c r="AH29" s="93"/>
      <c r="AI29" s="93"/>
      <c r="AJ29" s="95"/>
    </row>
    <row r="30" spans="2:39" ht="18" customHeight="1" x14ac:dyDescent="0.25">
      <c r="B30" s="507"/>
      <c r="C30" s="510"/>
      <c r="D30" s="96">
        <f>SUM(E30:X30)</f>
        <v>1</v>
      </c>
      <c r="E30" s="514">
        <v>0.35</v>
      </c>
      <c r="F30" s="515"/>
      <c r="G30" s="515"/>
      <c r="H30" s="516"/>
      <c r="I30" s="514">
        <v>0.35</v>
      </c>
      <c r="J30" s="515"/>
      <c r="K30" s="515"/>
      <c r="L30" s="516"/>
      <c r="M30" s="514">
        <v>0.3</v>
      </c>
      <c r="N30" s="515"/>
      <c r="O30" s="515"/>
      <c r="P30" s="516"/>
      <c r="Q30" s="514"/>
      <c r="R30" s="515"/>
      <c r="S30" s="515"/>
      <c r="T30" s="516"/>
      <c r="U30" s="514"/>
      <c r="V30" s="515"/>
      <c r="W30" s="515"/>
      <c r="X30" s="516"/>
      <c r="Y30" s="514"/>
      <c r="Z30" s="515"/>
      <c r="AA30" s="515"/>
      <c r="AB30" s="516"/>
      <c r="AC30" s="514"/>
      <c r="AD30" s="515"/>
      <c r="AE30" s="515"/>
      <c r="AF30" s="516"/>
      <c r="AG30" s="514"/>
      <c r="AH30" s="515"/>
      <c r="AI30" s="515"/>
      <c r="AJ30" s="517"/>
    </row>
    <row r="31" spans="2:39" ht="18" customHeight="1" x14ac:dyDescent="0.25">
      <c r="B31" s="506">
        <v>6</v>
      </c>
      <c r="C31" s="508" t="str">
        <f>RESUMO!C21</f>
        <v>CAIXA DE PASSAGEM E CANALETA DE ALUMINIO</v>
      </c>
      <c r="D31" s="91">
        <f>RESUMO!J21</f>
        <v>415969.51</v>
      </c>
      <c r="E31" s="535">
        <f>E33*$D31</f>
        <v>83193.902000000002</v>
      </c>
      <c r="F31" s="536"/>
      <c r="G31" s="536"/>
      <c r="H31" s="537"/>
      <c r="I31" s="535">
        <f>I33*$D31</f>
        <v>83193.902000000002</v>
      </c>
      <c r="J31" s="536"/>
      <c r="K31" s="536"/>
      <c r="L31" s="537"/>
      <c r="M31" s="535">
        <f>M33*$D31</f>
        <v>83193.902000000002</v>
      </c>
      <c r="N31" s="536"/>
      <c r="O31" s="536"/>
      <c r="P31" s="537"/>
      <c r="Q31" s="535">
        <f t="shared" ref="Q31" si="5">Q33*$D31</f>
        <v>83193.902000000002</v>
      </c>
      <c r="R31" s="536"/>
      <c r="S31" s="536"/>
      <c r="T31" s="537"/>
      <c r="U31" s="535">
        <f t="shared" ref="U31" si="6">U33*$D31</f>
        <v>83193.902000000002</v>
      </c>
      <c r="V31" s="536"/>
      <c r="W31" s="536"/>
      <c r="X31" s="537"/>
      <c r="Y31" s="511"/>
      <c r="Z31" s="512"/>
      <c r="AA31" s="512"/>
      <c r="AB31" s="513"/>
      <c r="AC31" s="511"/>
      <c r="AD31" s="512"/>
      <c r="AE31" s="512"/>
      <c r="AF31" s="513"/>
      <c r="AG31" s="511"/>
      <c r="AH31" s="512"/>
      <c r="AI31" s="512"/>
      <c r="AJ31" s="518"/>
      <c r="AL31" s="260"/>
      <c r="AM31" s="260"/>
    </row>
    <row r="32" spans="2:39" x14ac:dyDescent="0.25">
      <c r="B32" s="506"/>
      <c r="C32" s="509"/>
      <c r="D32" s="91"/>
      <c r="E32" s="132"/>
      <c r="F32" s="133"/>
      <c r="G32" s="385"/>
      <c r="H32" s="131"/>
      <c r="I32" s="129"/>
      <c r="J32" s="130"/>
      <c r="K32" s="130"/>
      <c r="L32" s="131"/>
      <c r="M32" s="129"/>
      <c r="N32" s="130"/>
      <c r="O32" s="130"/>
      <c r="P32" s="131"/>
      <c r="Q32" s="129"/>
      <c r="R32" s="130"/>
      <c r="S32" s="130"/>
      <c r="T32" s="131"/>
      <c r="U32" s="129"/>
      <c r="V32" s="130"/>
      <c r="W32" s="130"/>
      <c r="X32" s="131"/>
      <c r="Y32" s="92"/>
      <c r="Z32" s="93"/>
      <c r="AA32" s="93"/>
      <c r="AB32" s="94"/>
      <c r="AC32" s="92"/>
      <c r="AD32" s="93"/>
      <c r="AE32" s="93"/>
      <c r="AF32" s="94"/>
      <c r="AG32" s="92"/>
      <c r="AH32" s="93"/>
      <c r="AI32" s="93"/>
      <c r="AJ32" s="95"/>
    </row>
    <row r="33" spans="2:36" ht="16.5" customHeight="1" x14ac:dyDescent="0.25">
      <c r="B33" s="507"/>
      <c r="C33" s="510"/>
      <c r="D33" s="96">
        <f>SUM(E33:X33)</f>
        <v>1</v>
      </c>
      <c r="E33" s="514">
        <v>0.2</v>
      </c>
      <c r="F33" s="515"/>
      <c r="G33" s="515"/>
      <c r="H33" s="516"/>
      <c r="I33" s="514">
        <v>0.2</v>
      </c>
      <c r="J33" s="515"/>
      <c r="K33" s="515"/>
      <c r="L33" s="516"/>
      <c r="M33" s="514">
        <v>0.2</v>
      </c>
      <c r="N33" s="515"/>
      <c r="O33" s="515"/>
      <c r="P33" s="516"/>
      <c r="Q33" s="514">
        <v>0.2</v>
      </c>
      <c r="R33" s="515"/>
      <c r="S33" s="515"/>
      <c r="T33" s="516"/>
      <c r="U33" s="514">
        <v>0.2</v>
      </c>
      <c r="V33" s="515"/>
      <c r="W33" s="515"/>
      <c r="X33" s="516"/>
      <c r="Y33" s="514"/>
      <c r="Z33" s="515"/>
      <c r="AA33" s="515"/>
      <c r="AB33" s="516"/>
      <c r="AC33" s="514"/>
      <c r="AD33" s="515"/>
      <c r="AE33" s="515"/>
      <c r="AF33" s="516"/>
      <c r="AG33" s="514"/>
      <c r="AH33" s="515"/>
      <c r="AI33" s="515"/>
      <c r="AJ33" s="517"/>
    </row>
    <row r="34" spans="2:36" ht="18" customHeight="1" x14ac:dyDescent="0.25">
      <c r="B34" s="506">
        <v>7</v>
      </c>
      <c r="C34" s="508" t="str">
        <f>RESUMO!C22</f>
        <v>TOMADAS</v>
      </c>
      <c r="D34" s="91">
        <f>RESUMO!J22</f>
        <v>33063.68</v>
      </c>
      <c r="E34" s="511">
        <f>E36*$D34</f>
        <v>0</v>
      </c>
      <c r="F34" s="512"/>
      <c r="G34" s="512"/>
      <c r="H34" s="513"/>
      <c r="I34" s="511">
        <f>I36*$D34</f>
        <v>8265.92</v>
      </c>
      <c r="J34" s="512"/>
      <c r="K34" s="512"/>
      <c r="L34" s="513"/>
      <c r="M34" s="511">
        <f>M36*$D34</f>
        <v>8265.92</v>
      </c>
      <c r="N34" s="512"/>
      <c r="O34" s="512"/>
      <c r="P34" s="513"/>
      <c r="Q34" s="511">
        <f>Q36*$D34</f>
        <v>8265.92</v>
      </c>
      <c r="R34" s="512"/>
      <c r="S34" s="512"/>
      <c r="T34" s="513"/>
      <c r="U34" s="511">
        <f>U36*$D34</f>
        <v>8265.92</v>
      </c>
      <c r="V34" s="512"/>
      <c r="W34" s="512"/>
      <c r="X34" s="513"/>
      <c r="Y34" s="511">
        <f>Y36*$D34</f>
        <v>0</v>
      </c>
      <c r="Z34" s="512"/>
      <c r="AA34" s="512"/>
      <c r="AB34" s="513"/>
      <c r="AC34" s="511">
        <f>AC36*$D34</f>
        <v>0</v>
      </c>
      <c r="AD34" s="512"/>
      <c r="AE34" s="512"/>
      <c r="AF34" s="513"/>
      <c r="AG34" s="511">
        <f>AG36*$D34</f>
        <v>0</v>
      </c>
      <c r="AH34" s="512"/>
      <c r="AI34" s="512"/>
      <c r="AJ34" s="518"/>
    </row>
    <row r="35" spans="2:36" ht="9.9499999999999993" customHeight="1" x14ac:dyDescent="0.25">
      <c r="B35" s="506"/>
      <c r="C35" s="509"/>
      <c r="D35" s="91"/>
      <c r="E35" s="92"/>
      <c r="F35" s="93"/>
      <c r="G35" s="93"/>
      <c r="H35" s="94"/>
      <c r="I35" s="92"/>
      <c r="J35" s="93"/>
      <c r="K35" s="93"/>
      <c r="L35" s="387"/>
      <c r="M35" s="92"/>
      <c r="N35" s="93"/>
      <c r="O35" s="93"/>
      <c r="P35" s="94"/>
      <c r="Q35" s="92"/>
      <c r="R35" s="93"/>
      <c r="S35" s="93"/>
      <c r="T35" s="94"/>
      <c r="U35" s="92"/>
      <c r="V35" s="93"/>
      <c r="W35" s="93"/>
      <c r="X35" s="94"/>
      <c r="Y35" s="92"/>
      <c r="Z35" s="93"/>
      <c r="AA35" s="93"/>
      <c r="AB35" s="94"/>
      <c r="AC35" s="92"/>
      <c r="AD35" s="93"/>
      <c r="AE35" s="93"/>
      <c r="AF35" s="94"/>
      <c r="AG35" s="92"/>
      <c r="AH35" s="93"/>
      <c r="AI35" s="93"/>
      <c r="AJ35" s="95"/>
    </row>
    <row r="36" spans="2:36" ht="18" customHeight="1" x14ac:dyDescent="0.25">
      <c r="B36" s="507"/>
      <c r="C36" s="510"/>
      <c r="D36" s="96">
        <f>SUM(E36:X36)</f>
        <v>1</v>
      </c>
      <c r="E36" s="514"/>
      <c r="F36" s="515"/>
      <c r="G36" s="515"/>
      <c r="H36" s="516"/>
      <c r="I36" s="514">
        <v>0.25</v>
      </c>
      <c r="J36" s="515"/>
      <c r="K36" s="515"/>
      <c r="L36" s="516"/>
      <c r="M36" s="514">
        <v>0.25</v>
      </c>
      <c r="N36" s="515"/>
      <c r="O36" s="515"/>
      <c r="P36" s="516"/>
      <c r="Q36" s="514">
        <v>0.25</v>
      </c>
      <c r="R36" s="515"/>
      <c r="S36" s="515"/>
      <c r="T36" s="516"/>
      <c r="U36" s="514">
        <v>0.25</v>
      </c>
      <c r="V36" s="515"/>
      <c r="W36" s="515"/>
      <c r="X36" s="516"/>
      <c r="Y36" s="514"/>
      <c r="Z36" s="515"/>
      <c r="AA36" s="515"/>
      <c r="AB36" s="516"/>
      <c r="AC36" s="514"/>
      <c r="AD36" s="515"/>
      <c r="AE36" s="515"/>
      <c r="AF36" s="516"/>
      <c r="AG36" s="514"/>
      <c r="AH36" s="515"/>
      <c r="AI36" s="515"/>
      <c r="AJ36" s="517"/>
    </row>
    <row r="37" spans="2:36" ht="18" customHeight="1" x14ac:dyDescent="0.25">
      <c r="B37" s="506">
        <v>8</v>
      </c>
      <c r="C37" s="508" t="str">
        <f>RESUMO!C23</f>
        <v>DISPOSITIVO DE PROTEÇÃO</v>
      </c>
      <c r="D37" s="91">
        <f>RESUMO!J23</f>
        <v>49521.56</v>
      </c>
      <c r="E37" s="511">
        <f>E39*$D37</f>
        <v>0</v>
      </c>
      <c r="F37" s="512"/>
      <c r="G37" s="512"/>
      <c r="H37" s="513"/>
      <c r="I37" s="511">
        <f>I39*$D37</f>
        <v>12380.39</v>
      </c>
      <c r="J37" s="512"/>
      <c r="K37" s="512"/>
      <c r="L37" s="513"/>
      <c r="M37" s="511">
        <f>M39*$D37</f>
        <v>12380.39</v>
      </c>
      <c r="N37" s="512"/>
      <c r="O37" s="512"/>
      <c r="P37" s="513"/>
      <c r="Q37" s="511">
        <f>Q39*$D37</f>
        <v>12380.39</v>
      </c>
      <c r="R37" s="512"/>
      <c r="S37" s="512"/>
      <c r="T37" s="513"/>
      <c r="U37" s="511">
        <f>U39*$D37</f>
        <v>12380.39</v>
      </c>
      <c r="V37" s="512"/>
      <c r="W37" s="512"/>
      <c r="X37" s="513"/>
      <c r="Y37" s="511">
        <f>Y39*$D37</f>
        <v>0</v>
      </c>
      <c r="Z37" s="512"/>
      <c r="AA37" s="512"/>
      <c r="AB37" s="513"/>
      <c r="AC37" s="511">
        <f>AC39*$D37</f>
        <v>0</v>
      </c>
      <c r="AD37" s="512"/>
      <c r="AE37" s="512"/>
      <c r="AF37" s="513"/>
      <c r="AG37" s="511">
        <f>AG39*$D37</f>
        <v>0</v>
      </c>
      <c r="AH37" s="512"/>
      <c r="AI37" s="512"/>
      <c r="AJ37" s="518"/>
    </row>
    <row r="38" spans="2:36" ht="9.9499999999999993" customHeight="1" x14ac:dyDescent="0.25">
      <c r="B38" s="506"/>
      <c r="C38" s="509"/>
      <c r="D38" s="91"/>
      <c r="E38" s="92"/>
      <c r="F38" s="93"/>
      <c r="G38" s="93"/>
      <c r="H38" s="94"/>
      <c r="I38" s="92"/>
      <c r="J38" s="93"/>
      <c r="K38" s="93"/>
      <c r="L38" s="387"/>
      <c r="M38" s="388"/>
      <c r="N38" s="389"/>
      <c r="O38" s="389"/>
      <c r="P38" s="387"/>
      <c r="Q38" s="388"/>
      <c r="R38" s="389"/>
      <c r="S38" s="389"/>
      <c r="T38" s="387"/>
      <c r="U38" s="388"/>
      <c r="V38" s="93"/>
      <c r="W38" s="93"/>
      <c r="X38" s="94"/>
      <c r="Y38" s="92"/>
      <c r="Z38" s="93"/>
      <c r="AA38" s="93"/>
      <c r="AB38" s="94"/>
      <c r="AC38" s="92"/>
      <c r="AD38" s="93"/>
      <c r="AE38" s="93"/>
      <c r="AF38" s="94"/>
      <c r="AG38" s="92"/>
      <c r="AH38" s="93"/>
      <c r="AI38" s="93"/>
      <c r="AJ38" s="95"/>
    </row>
    <row r="39" spans="2:36" ht="18" customHeight="1" x14ac:dyDescent="0.25">
      <c r="B39" s="507"/>
      <c r="C39" s="510"/>
      <c r="D39" s="96">
        <f>SUM(E39:X39)</f>
        <v>1</v>
      </c>
      <c r="E39" s="514"/>
      <c r="F39" s="515"/>
      <c r="G39" s="515"/>
      <c r="H39" s="516"/>
      <c r="I39" s="514">
        <v>0.25</v>
      </c>
      <c r="J39" s="515"/>
      <c r="K39" s="515"/>
      <c r="L39" s="516"/>
      <c r="M39" s="514">
        <v>0.25</v>
      </c>
      <c r="N39" s="515"/>
      <c r="O39" s="515"/>
      <c r="P39" s="516"/>
      <c r="Q39" s="514">
        <v>0.25</v>
      </c>
      <c r="R39" s="515"/>
      <c r="S39" s="515"/>
      <c r="T39" s="516"/>
      <c r="U39" s="514">
        <v>0.25</v>
      </c>
      <c r="V39" s="515"/>
      <c r="W39" s="515"/>
      <c r="X39" s="516"/>
      <c r="Y39" s="514"/>
      <c r="Z39" s="515"/>
      <c r="AA39" s="515"/>
      <c r="AB39" s="516"/>
      <c r="AC39" s="514"/>
      <c r="AD39" s="515"/>
      <c r="AE39" s="515"/>
      <c r="AF39" s="516"/>
      <c r="AG39" s="514"/>
      <c r="AH39" s="515"/>
      <c r="AI39" s="515"/>
      <c r="AJ39" s="517"/>
    </row>
    <row r="40" spans="2:36" ht="18" customHeight="1" x14ac:dyDescent="0.25">
      <c r="B40" s="506">
        <v>9</v>
      </c>
      <c r="C40" s="508" t="str">
        <f>RESUMO!C24</f>
        <v>ELETROCALHA</v>
      </c>
      <c r="D40" s="91">
        <f>RESUMO!J24</f>
        <v>146079.25</v>
      </c>
      <c r="E40" s="511">
        <f>E42*$D40</f>
        <v>29215.850000000002</v>
      </c>
      <c r="F40" s="512"/>
      <c r="G40" s="512"/>
      <c r="H40" s="513"/>
      <c r="I40" s="511">
        <f>I42*$D40</f>
        <v>29215.850000000002</v>
      </c>
      <c r="J40" s="512"/>
      <c r="K40" s="512"/>
      <c r="L40" s="513"/>
      <c r="M40" s="511">
        <f>M42*$D40</f>
        <v>29215.850000000002</v>
      </c>
      <c r="N40" s="512"/>
      <c r="O40" s="512"/>
      <c r="P40" s="513"/>
      <c r="Q40" s="511">
        <f>Q42*$D40</f>
        <v>29215.850000000002</v>
      </c>
      <c r="R40" s="512"/>
      <c r="S40" s="512"/>
      <c r="T40" s="513"/>
      <c r="U40" s="511">
        <f>U42*$D40</f>
        <v>29215.850000000002</v>
      </c>
      <c r="V40" s="512"/>
      <c r="W40" s="512"/>
      <c r="X40" s="513"/>
      <c r="Y40" s="511">
        <f>Y42*$D40</f>
        <v>0</v>
      </c>
      <c r="Z40" s="512"/>
      <c r="AA40" s="512"/>
      <c r="AB40" s="513"/>
      <c r="AC40" s="511">
        <f>AC42*$D40</f>
        <v>0</v>
      </c>
      <c r="AD40" s="512"/>
      <c r="AE40" s="512"/>
      <c r="AF40" s="513"/>
      <c r="AG40" s="511">
        <f>AG42*$D40</f>
        <v>0</v>
      </c>
      <c r="AH40" s="512"/>
      <c r="AI40" s="512"/>
      <c r="AJ40" s="518"/>
    </row>
    <row r="41" spans="2:36" ht="18" customHeight="1" x14ac:dyDescent="0.25">
      <c r="B41" s="506"/>
      <c r="C41" s="509"/>
      <c r="D41" s="91"/>
      <c r="E41" s="92"/>
      <c r="F41" s="93"/>
      <c r="G41" s="389"/>
      <c r="H41" s="387"/>
      <c r="I41" s="388"/>
      <c r="J41" s="389"/>
      <c r="K41" s="389"/>
      <c r="L41" s="387"/>
      <c r="M41" s="388"/>
      <c r="N41" s="389"/>
      <c r="O41" s="389"/>
      <c r="P41" s="387"/>
      <c r="Q41" s="388"/>
      <c r="R41" s="389"/>
      <c r="S41" s="389"/>
      <c r="T41" s="387"/>
      <c r="U41" s="388"/>
      <c r="V41" s="389"/>
      <c r="W41" s="93"/>
      <c r="X41" s="94"/>
      <c r="Y41" s="92"/>
      <c r="Z41" s="93"/>
      <c r="AA41" s="93"/>
      <c r="AB41" s="94"/>
      <c r="AC41" s="92"/>
      <c r="AD41" s="93"/>
      <c r="AE41" s="93"/>
      <c r="AF41" s="94"/>
      <c r="AG41" s="92"/>
      <c r="AH41" s="93"/>
      <c r="AI41" s="93"/>
      <c r="AJ41" s="95"/>
    </row>
    <row r="42" spans="2:36" ht="18" customHeight="1" x14ac:dyDescent="0.25">
      <c r="B42" s="507"/>
      <c r="C42" s="510"/>
      <c r="D42" s="96">
        <f>SUM(E42:X42)</f>
        <v>1</v>
      </c>
      <c r="E42" s="514">
        <v>0.2</v>
      </c>
      <c r="F42" s="515"/>
      <c r="G42" s="515"/>
      <c r="H42" s="516"/>
      <c r="I42" s="514">
        <v>0.2</v>
      </c>
      <c r="J42" s="515"/>
      <c r="K42" s="515"/>
      <c r="L42" s="516"/>
      <c r="M42" s="514">
        <v>0.2</v>
      </c>
      <c r="N42" s="515"/>
      <c r="O42" s="515"/>
      <c r="P42" s="516"/>
      <c r="Q42" s="514">
        <v>0.2</v>
      </c>
      <c r="R42" s="515"/>
      <c r="S42" s="515"/>
      <c r="T42" s="516"/>
      <c r="U42" s="514">
        <v>0.2</v>
      </c>
      <c r="V42" s="515"/>
      <c r="W42" s="515"/>
      <c r="X42" s="516"/>
      <c r="Y42" s="514"/>
      <c r="Z42" s="515"/>
      <c r="AA42" s="515"/>
      <c r="AB42" s="516"/>
      <c r="AC42" s="514"/>
      <c r="AD42" s="515"/>
      <c r="AE42" s="515"/>
      <c r="AF42" s="516"/>
      <c r="AG42" s="514"/>
      <c r="AH42" s="515"/>
      <c r="AI42" s="515"/>
      <c r="AJ42" s="517"/>
    </row>
    <row r="43" spans="2:36" ht="18" customHeight="1" x14ac:dyDescent="0.25">
      <c r="B43" s="506">
        <v>10</v>
      </c>
      <c r="C43" s="508" t="str">
        <f>RESUMO!C25</f>
        <v>ELETRODUTOS</v>
      </c>
      <c r="D43" s="91">
        <f>RESUMO!J25</f>
        <v>222407.81</v>
      </c>
      <c r="E43" s="511">
        <f>E45*$D43</f>
        <v>0</v>
      </c>
      <c r="F43" s="512"/>
      <c r="G43" s="512"/>
      <c r="H43" s="513"/>
      <c r="I43" s="511">
        <f>I45*$D43</f>
        <v>55601.952499999999</v>
      </c>
      <c r="J43" s="512"/>
      <c r="K43" s="512"/>
      <c r="L43" s="513"/>
      <c r="M43" s="511">
        <f>M45*$D43</f>
        <v>55601.952499999999</v>
      </c>
      <c r="N43" s="512"/>
      <c r="O43" s="512"/>
      <c r="P43" s="513"/>
      <c r="Q43" s="511">
        <f>Q45*$D43</f>
        <v>55601.952499999999</v>
      </c>
      <c r="R43" s="512"/>
      <c r="S43" s="512"/>
      <c r="T43" s="513"/>
      <c r="U43" s="511">
        <f>U45*$D43</f>
        <v>55601.952499999999</v>
      </c>
      <c r="V43" s="512"/>
      <c r="W43" s="512"/>
      <c r="X43" s="513"/>
      <c r="Y43" s="511">
        <f>Y45*$D43</f>
        <v>0</v>
      </c>
      <c r="Z43" s="512"/>
      <c r="AA43" s="512"/>
      <c r="AB43" s="513"/>
      <c r="AC43" s="511">
        <f>AC45*$D43</f>
        <v>0</v>
      </c>
      <c r="AD43" s="512"/>
      <c r="AE43" s="512"/>
      <c r="AF43" s="513"/>
      <c r="AG43" s="511">
        <f>AG45*$D43</f>
        <v>0</v>
      </c>
      <c r="AH43" s="512"/>
      <c r="AI43" s="512"/>
      <c r="AJ43" s="518"/>
    </row>
    <row r="44" spans="2:36" ht="18" customHeight="1" x14ac:dyDescent="0.25">
      <c r="B44" s="506"/>
      <c r="C44" s="509"/>
      <c r="D44" s="91"/>
      <c r="E44" s="92"/>
      <c r="F44" s="93"/>
      <c r="G44" s="93"/>
      <c r="H44" s="94"/>
      <c r="I44" s="92"/>
      <c r="J44" s="93"/>
      <c r="K44" s="93"/>
      <c r="L44" s="387"/>
      <c r="M44" s="388"/>
      <c r="N44" s="389"/>
      <c r="O44" s="389"/>
      <c r="P44" s="387"/>
      <c r="Q44" s="388"/>
      <c r="R44" s="389"/>
      <c r="S44" s="389"/>
      <c r="T44" s="387"/>
      <c r="U44" s="388"/>
      <c r="V44" s="93"/>
      <c r="W44" s="93"/>
      <c r="X44" s="94"/>
      <c r="Y44" s="92"/>
      <c r="Z44" s="93"/>
      <c r="AA44" s="93"/>
      <c r="AB44" s="94"/>
      <c r="AC44" s="92"/>
      <c r="AD44" s="93"/>
      <c r="AE44" s="93"/>
      <c r="AF44" s="94"/>
      <c r="AG44" s="92"/>
      <c r="AH44" s="93"/>
      <c r="AI44" s="93"/>
      <c r="AJ44" s="95"/>
    </row>
    <row r="45" spans="2:36" ht="18" customHeight="1" x14ac:dyDescent="0.25">
      <c r="B45" s="507"/>
      <c r="C45" s="510"/>
      <c r="D45" s="96">
        <f>SUM(E45:X45)</f>
        <v>1</v>
      </c>
      <c r="E45" s="514"/>
      <c r="F45" s="515"/>
      <c r="G45" s="515"/>
      <c r="H45" s="516"/>
      <c r="I45" s="514">
        <v>0.25</v>
      </c>
      <c r="J45" s="515"/>
      <c r="K45" s="515"/>
      <c r="L45" s="516"/>
      <c r="M45" s="514">
        <v>0.25</v>
      </c>
      <c r="N45" s="515"/>
      <c r="O45" s="515"/>
      <c r="P45" s="516"/>
      <c r="Q45" s="514">
        <v>0.25</v>
      </c>
      <c r="R45" s="515"/>
      <c r="S45" s="515"/>
      <c r="T45" s="516"/>
      <c r="U45" s="514">
        <v>0.25</v>
      </c>
      <c r="V45" s="515"/>
      <c r="W45" s="515"/>
      <c r="X45" s="516"/>
      <c r="Y45" s="514"/>
      <c r="Z45" s="515"/>
      <c r="AA45" s="515"/>
      <c r="AB45" s="516"/>
      <c r="AC45" s="514"/>
      <c r="AD45" s="515"/>
      <c r="AE45" s="515"/>
      <c r="AF45" s="516"/>
      <c r="AG45" s="514"/>
      <c r="AH45" s="515"/>
      <c r="AI45" s="515"/>
      <c r="AJ45" s="517"/>
    </row>
    <row r="46" spans="2:36" ht="18" customHeight="1" x14ac:dyDescent="0.25">
      <c r="B46" s="506">
        <v>11</v>
      </c>
      <c r="C46" s="508" t="str">
        <f>RESUMO!C26</f>
        <v>QUADROS DE DISTRIBUIÇÃO</v>
      </c>
      <c r="D46" s="91">
        <f>RESUMO!J26</f>
        <v>51790.810000000005</v>
      </c>
      <c r="E46" s="511">
        <f>E48*$D46</f>
        <v>0</v>
      </c>
      <c r="F46" s="512"/>
      <c r="G46" s="512"/>
      <c r="H46" s="513"/>
      <c r="I46" s="511">
        <f>I48*$D46</f>
        <v>0</v>
      </c>
      <c r="J46" s="512"/>
      <c r="K46" s="512"/>
      <c r="L46" s="513"/>
      <c r="M46" s="511">
        <f>M48*$D46</f>
        <v>15537.243</v>
      </c>
      <c r="N46" s="512"/>
      <c r="O46" s="512"/>
      <c r="P46" s="513"/>
      <c r="Q46" s="511">
        <f>Q48*$D46</f>
        <v>15537.243</v>
      </c>
      <c r="R46" s="512"/>
      <c r="S46" s="512"/>
      <c r="T46" s="513"/>
      <c r="U46" s="511">
        <f>U48*$D46</f>
        <v>20716.324000000004</v>
      </c>
      <c r="V46" s="512"/>
      <c r="W46" s="512"/>
      <c r="X46" s="513"/>
      <c r="Y46" s="511">
        <f>Y48*$D46</f>
        <v>0</v>
      </c>
      <c r="Z46" s="512"/>
      <c r="AA46" s="512"/>
      <c r="AB46" s="513"/>
      <c r="AC46" s="511">
        <f>AC48*$D46</f>
        <v>0</v>
      </c>
      <c r="AD46" s="512"/>
      <c r="AE46" s="512"/>
      <c r="AF46" s="513"/>
      <c r="AG46" s="511">
        <f>AG48*$D46</f>
        <v>0</v>
      </c>
      <c r="AH46" s="512"/>
      <c r="AI46" s="512"/>
      <c r="AJ46" s="518"/>
    </row>
    <row r="47" spans="2:36" ht="18" customHeight="1" x14ac:dyDescent="0.25">
      <c r="B47" s="506"/>
      <c r="C47" s="509"/>
      <c r="D47" s="91"/>
      <c r="E47" s="92"/>
      <c r="F47" s="93"/>
      <c r="G47" s="93"/>
      <c r="H47" s="94"/>
      <c r="I47" s="92"/>
      <c r="J47" s="93"/>
      <c r="K47" s="93"/>
      <c r="L47" s="94"/>
      <c r="M47" s="92"/>
      <c r="N47" s="93"/>
      <c r="O47" s="389"/>
      <c r="P47" s="387"/>
      <c r="Q47" s="388"/>
      <c r="R47" s="389"/>
      <c r="S47" s="389"/>
      <c r="T47" s="387"/>
      <c r="U47" s="388"/>
      <c r="V47" s="389"/>
      <c r="W47" s="389"/>
      <c r="X47" s="94"/>
      <c r="Y47" s="92"/>
      <c r="Z47" s="93"/>
      <c r="AA47" s="93"/>
      <c r="AB47" s="94"/>
      <c r="AC47" s="92"/>
      <c r="AD47" s="93"/>
      <c r="AE47" s="93"/>
      <c r="AF47" s="94"/>
      <c r="AG47" s="92"/>
      <c r="AH47" s="93"/>
      <c r="AI47" s="93"/>
      <c r="AJ47" s="95"/>
    </row>
    <row r="48" spans="2:36" ht="18" customHeight="1" x14ac:dyDescent="0.25">
      <c r="B48" s="507"/>
      <c r="C48" s="510"/>
      <c r="D48" s="96">
        <f>SUM(E48:X48)</f>
        <v>1</v>
      </c>
      <c r="E48" s="514"/>
      <c r="F48" s="515"/>
      <c r="G48" s="515"/>
      <c r="H48" s="516"/>
      <c r="I48" s="514"/>
      <c r="J48" s="515"/>
      <c r="K48" s="515"/>
      <c r="L48" s="516"/>
      <c r="M48" s="514">
        <v>0.3</v>
      </c>
      <c r="N48" s="515"/>
      <c r="O48" s="515"/>
      <c r="P48" s="516"/>
      <c r="Q48" s="514">
        <v>0.3</v>
      </c>
      <c r="R48" s="515"/>
      <c r="S48" s="515"/>
      <c r="T48" s="516"/>
      <c r="U48" s="514">
        <v>0.4</v>
      </c>
      <c r="V48" s="515"/>
      <c r="W48" s="515"/>
      <c r="X48" s="516"/>
      <c r="Y48" s="514"/>
      <c r="Z48" s="515"/>
      <c r="AA48" s="515"/>
      <c r="AB48" s="516"/>
      <c r="AC48" s="514"/>
      <c r="AD48" s="515"/>
      <c r="AE48" s="515"/>
      <c r="AF48" s="516"/>
      <c r="AG48" s="514"/>
      <c r="AH48" s="515"/>
      <c r="AI48" s="515"/>
      <c r="AJ48" s="517"/>
    </row>
    <row r="49" spans="2:36" ht="18" customHeight="1" x14ac:dyDescent="0.25">
      <c r="B49" s="506">
        <v>12</v>
      </c>
      <c r="C49" s="508" t="str">
        <f>RESUMO!C27</f>
        <v>CABEAMENTO ESTRUTURADO</v>
      </c>
      <c r="D49" s="91">
        <f>RESUMO!J27</f>
        <v>811620.5199999999</v>
      </c>
      <c r="E49" s="511">
        <f>E51*$D49</f>
        <v>0</v>
      </c>
      <c r="F49" s="512"/>
      <c r="G49" s="512"/>
      <c r="H49" s="513"/>
      <c r="I49" s="511">
        <f>I51*$D49</f>
        <v>202905.12999999998</v>
      </c>
      <c r="J49" s="512"/>
      <c r="K49" s="512"/>
      <c r="L49" s="513"/>
      <c r="M49" s="511">
        <f>M51*$D49</f>
        <v>202905.12999999998</v>
      </c>
      <c r="N49" s="512"/>
      <c r="O49" s="512"/>
      <c r="P49" s="513"/>
      <c r="Q49" s="511">
        <f>Q51*$D49</f>
        <v>202905.12999999998</v>
      </c>
      <c r="R49" s="512"/>
      <c r="S49" s="512"/>
      <c r="T49" s="513"/>
      <c r="U49" s="511">
        <f>U51*$D49</f>
        <v>202905.12999999998</v>
      </c>
      <c r="V49" s="512"/>
      <c r="W49" s="512"/>
      <c r="X49" s="513"/>
      <c r="Y49" s="511">
        <f>Y51*$D49</f>
        <v>0</v>
      </c>
      <c r="Z49" s="512"/>
      <c r="AA49" s="512"/>
      <c r="AB49" s="513"/>
      <c r="AC49" s="511">
        <f>AC51*$D49</f>
        <v>0</v>
      </c>
      <c r="AD49" s="512"/>
      <c r="AE49" s="512"/>
      <c r="AF49" s="513"/>
      <c r="AG49" s="511">
        <f>AG51*$D49</f>
        <v>0</v>
      </c>
      <c r="AH49" s="512"/>
      <c r="AI49" s="512"/>
      <c r="AJ49" s="518"/>
    </row>
    <row r="50" spans="2:36" ht="18" customHeight="1" x14ac:dyDescent="0.25">
      <c r="B50" s="506"/>
      <c r="C50" s="509"/>
      <c r="D50" s="91"/>
      <c r="E50" s="92"/>
      <c r="F50" s="93"/>
      <c r="G50" s="93"/>
      <c r="H50" s="94"/>
      <c r="I50" s="92"/>
      <c r="J50" s="93"/>
      <c r="K50" s="93"/>
      <c r="L50" s="387"/>
      <c r="M50" s="388"/>
      <c r="N50" s="389"/>
      <c r="O50" s="389"/>
      <c r="P50" s="387"/>
      <c r="Q50" s="388"/>
      <c r="R50" s="389"/>
      <c r="S50" s="389"/>
      <c r="T50" s="387"/>
      <c r="U50" s="388"/>
      <c r="V50" s="93"/>
      <c r="W50" s="93"/>
      <c r="X50" s="94"/>
      <c r="Y50" s="92"/>
      <c r="Z50" s="93"/>
      <c r="AA50" s="93"/>
      <c r="AB50" s="94"/>
      <c r="AC50" s="92"/>
      <c r="AD50" s="93"/>
      <c r="AE50" s="93"/>
      <c r="AF50" s="94"/>
      <c r="AG50" s="92"/>
      <c r="AH50" s="93"/>
      <c r="AI50" s="93"/>
      <c r="AJ50" s="95"/>
    </row>
    <row r="51" spans="2:36" ht="18" customHeight="1" x14ac:dyDescent="0.25">
      <c r="B51" s="507"/>
      <c r="C51" s="510"/>
      <c r="D51" s="96">
        <f>SUM(E51:X51)</f>
        <v>1</v>
      </c>
      <c r="E51" s="514"/>
      <c r="F51" s="515"/>
      <c r="G51" s="515"/>
      <c r="H51" s="516"/>
      <c r="I51" s="514">
        <v>0.25</v>
      </c>
      <c r="J51" s="515"/>
      <c r="K51" s="515"/>
      <c r="L51" s="516"/>
      <c r="M51" s="514">
        <v>0.25</v>
      </c>
      <c r="N51" s="515"/>
      <c r="O51" s="515"/>
      <c r="P51" s="516"/>
      <c r="Q51" s="514">
        <v>0.25</v>
      </c>
      <c r="R51" s="515"/>
      <c r="S51" s="515"/>
      <c r="T51" s="516"/>
      <c r="U51" s="514">
        <v>0.25</v>
      </c>
      <c r="V51" s="515"/>
      <c r="W51" s="515"/>
      <c r="X51" s="516"/>
      <c r="Y51" s="514"/>
      <c r="Z51" s="515"/>
      <c r="AA51" s="515"/>
      <c r="AB51" s="516"/>
      <c r="AC51" s="514"/>
      <c r="AD51" s="515"/>
      <c r="AE51" s="515"/>
      <c r="AF51" s="516"/>
      <c r="AG51" s="514"/>
      <c r="AH51" s="515"/>
      <c r="AI51" s="515"/>
      <c r="AJ51" s="517"/>
    </row>
    <row r="52" spans="2:36" ht="18" customHeight="1" x14ac:dyDescent="0.25">
      <c r="B52" s="506">
        <v>13</v>
      </c>
      <c r="C52" s="508" t="str">
        <f>RESUMO!C28</f>
        <v>SERVIÇOS COMPLEMENTARES</v>
      </c>
      <c r="D52" s="91">
        <f>RESUMO!J28</f>
        <v>13006.86</v>
      </c>
      <c r="E52" s="511">
        <f>E54*$D52</f>
        <v>0</v>
      </c>
      <c r="F52" s="512"/>
      <c r="G52" s="512"/>
      <c r="H52" s="513"/>
      <c r="I52" s="511">
        <f>I54*$D52</f>
        <v>0</v>
      </c>
      <c r="J52" s="512"/>
      <c r="K52" s="512"/>
      <c r="L52" s="513"/>
      <c r="M52" s="511">
        <f>M54*$D52</f>
        <v>0</v>
      </c>
      <c r="N52" s="512"/>
      <c r="O52" s="512"/>
      <c r="P52" s="513"/>
      <c r="Q52" s="511">
        <f>Q54*$D52</f>
        <v>6503.43</v>
      </c>
      <c r="R52" s="512"/>
      <c r="S52" s="512"/>
      <c r="T52" s="513"/>
      <c r="U52" s="511">
        <f>U54*$D52</f>
        <v>6503.43</v>
      </c>
      <c r="V52" s="512"/>
      <c r="W52" s="512"/>
      <c r="X52" s="513"/>
      <c r="Y52" s="511">
        <f>Y54*$D52</f>
        <v>0</v>
      </c>
      <c r="Z52" s="512"/>
      <c r="AA52" s="512"/>
      <c r="AB52" s="513"/>
      <c r="AC52" s="511">
        <f>AC54*$D52</f>
        <v>0</v>
      </c>
      <c r="AD52" s="512"/>
      <c r="AE52" s="512"/>
      <c r="AF52" s="513"/>
      <c r="AG52" s="511">
        <f>AG54*$D52</f>
        <v>0</v>
      </c>
      <c r="AH52" s="512"/>
      <c r="AI52" s="512"/>
      <c r="AJ52" s="518"/>
    </row>
    <row r="53" spans="2:36" ht="15" customHeight="1" x14ac:dyDescent="0.25">
      <c r="B53" s="506"/>
      <c r="C53" s="509"/>
      <c r="D53" s="91"/>
      <c r="E53" s="92"/>
      <c r="F53" s="93"/>
      <c r="G53" s="93"/>
      <c r="H53" s="94"/>
      <c r="I53" s="92"/>
      <c r="J53" s="93"/>
      <c r="K53" s="93"/>
      <c r="L53" s="94"/>
      <c r="M53" s="92"/>
      <c r="N53" s="93"/>
      <c r="O53" s="93"/>
      <c r="P53" s="94"/>
      <c r="Q53" s="92"/>
      <c r="R53" s="93"/>
      <c r="S53" s="389"/>
      <c r="T53" s="387"/>
      <c r="U53" s="388"/>
      <c r="V53" s="389"/>
      <c r="W53" s="390"/>
      <c r="X53" s="94"/>
      <c r="Y53" s="92"/>
      <c r="Z53" s="93"/>
      <c r="AA53" s="93"/>
      <c r="AB53" s="94"/>
      <c r="AC53" s="92"/>
      <c r="AD53" s="93"/>
      <c r="AE53" s="93"/>
      <c r="AF53" s="94"/>
      <c r="AG53" s="92"/>
      <c r="AH53" s="93"/>
      <c r="AI53" s="93"/>
      <c r="AJ53" s="95"/>
    </row>
    <row r="54" spans="2:36" ht="15.75" customHeight="1" thickBot="1" x14ac:dyDescent="0.3">
      <c r="B54" s="507"/>
      <c r="C54" s="510"/>
      <c r="D54" s="96">
        <f>SUM(E54:X54)</f>
        <v>1</v>
      </c>
      <c r="E54" s="514"/>
      <c r="F54" s="515"/>
      <c r="G54" s="515"/>
      <c r="H54" s="516"/>
      <c r="I54" s="514"/>
      <c r="J54" s="515"/>
      <c r="K54" s="515"/>
      <c r="L54" s="516"/>
      <c r="M54" s="514"/>
      <c r="N54" s="515"/>
      <c r="O54" s="515"/>
      <c r="P54" s="516"/>
      <c r="Q54" s="514">
        <v>0.5</v>
      </c>
      <c r="R54" s="515"/>
      <c r="S54" s="515"/>
      <c r="T54" s="516"/>
      <c r="U54" s="514">
        <v>0.5</v>
      </c>
      <c r="V54" s="515"/>
      <c r="W54" s="515"/>
      <c r="X54" s="516"/>
      <c r="Y54" s="514"/>
      <c r="Z54" s="515"/>
      <c r="AA54" s="515"/>
      <c r="AB54" s="516"/>
      <c r="AC54" s="514"/>
      <c r="AD54" s="515"/>
      <c r="AE54" s="515"/>
      <c r="AF54" s="516"/>
      <c r="AG54" s="514"/>
      <c r="AH54" s="515"/>
      <c r="AI54" s="515"/>
      <c r="AJ54" s="517"/>
    </row>
    <row r="55" spans="2:36" ht="21" customHeight="1" x14ac:dyDescent="0.25">
      <c r="B55" s="60"/>
      <c r="C55" s="61" t="s">
        <v>102</v>
      </c>
      <c r="D55" s="62">
        <f>D16+D19+D22+D25+D28+D31+D34+D37+D40+D43+D46+D49+D52</f>
        <v>2397523.4099999997</v>
      </c>
      <c r="E55" s="551">
        <f>E16+E22+E28+E34+E37+E43+E46+E49+E52+E31+E40+E25+E19</f>
        <v>291736.70227999997</v>
      </c>
      <c r="F55" s="552"/>
      <c r="G55" s="552"/>
      <c r="H55" s="553"/>
      <c r="I55" s="551">
        <f t="shared" ref="I55" si="7">I16+I22+I28+I34+I37+I43+I46+I49+I52+I31+I40+I25+I19</f>
        <v>575969.482739</v>
      </c>
      <c r="J55" s="552"/>
      <c r="K55" s="552"/>
      <c r="L55" s="553"/>
      <c r="M55" s="551">
        <f t="shared" ref="M55" si="8">M16+M22+M28+M34+M37+M43+M46+M49+M52+M31+M40+M25+M19</f>
        <v>532158.18923899997</v>
      </c>
      <c r="N55" s="552"/>
      <c r="O55" s="552"/>
      <c r="P55" s="553"/>
      <c r="Q55" s="551">
        <f t="shared" ref="Q55" si="9">Q16+Q22+Q28+Q34+Q37+Q43+Q46+Q49+Q52+Q31+Q40+Q25+Q19</f>
        <v>497964.34523899993</v>
      </c>
      <c r="R55" s="552"/>
      <c r="S55" s="552"/>
      <c r="T55" s="553"/>
      <c r="U55" s="551">
        <f t="shared" ref="U55" si="10">U16+U22+U28+U34+U37+U43+U46+U49+U52+U31+U40+U25+U19</f>
        <v>499694.69050299999</v>
      </c>
      <c r="V55" s="552"/>
      <c r="W55" s="552"/>
      <c r="X55" s="553"/>
      <c r="Y55" s="526"/>
      <c r="Z55" s="527"/>
      <c r="AA55" s="527"/>
      <c r="AB55" s="533"/>
      <c r="AC55" s="526"/>
      <c r="AD55" s="527"/>
      <c r="AE55" s="527"/>
      <c r="AF55" s="533"/>
      <c r="AG55" s="526"/>
      <c r="AH55" s="527"/>
      <c r="AI55" s="527"/>
      <c r="AJ55" s="528"/>
    </row>
    <row r="56" spans="2:36" ht="21" customHeight="1" thickBot="1" x14ac:dyDescent="0.3">
      <c r="B56" s="63"/>
      <c r="C56" s="64" t="s">
        <v>103</v>
      </c>
      <c r="D56" s="65">
        <f>SUM(E56:X56)</f>
        <v>1</v>
      </c>
      <c r="E56" s="529">
        <f>E55/$D$55</f>
        <v>0.12168252500191437</v>
      </c>
      <c r="F56" s="530"/>
      <c r="G56" s="530"/>
      <c r="H56" s="531"/>
      <c r="I56" s="529">
        <f>I55/$D$55</f>
        <v>0.24023518616612802</v>
      </c>
      <c r="J56" s="530"/>
      <c r="K56" s="530"/>
      <c r="L56" s="531"/>
      <c r="M56" s="529">
        <f t="shared" ref="M56" si="11">M55/$D$55</f>
        <v>0.22196162382372736</v>
      </c>
      <c r="N56" s="530"/>
      <c r="O56" s="530"/>
      <c r="P56" s="531"/>
      <c r="Q56" s="529">
        <f t="shared" ref="Q56" si="12">Q55/$D$55</f>
        <v>0.20769947153049906</v>
      </c>
      <c r="R56" s="530"/>
      <c r="S56" s="530"/>
      <c r="T56" s="531"/>
      <c r="U56" s="529">
        <f t="shared" ref="U56" si="13">U55/$D$55</f>
        <v>0.20842119347773128</v>
      </c>
      <c r="V56" s="530"/>
      <c r="W56" s="530"/>
      <c r="X56" s="531"/>
      <c r="Y56" s="529"/>
      <c r="Z56" s="530"/>
      <c r="AA56" s="530"/>
      <c r="AB56" s="531"/>
      <c r="AC56" s="529"/>
      <c r="AD56" s="530"/>
      <c r="AE56" s="530"/>
      <c r="AF56" s="531"/>
      <c r="AG56" s="529"/>
      <c r="AH56" s="530"/>
      <c r="AI56" s="530"/>
      <c r="AJ56" s="532"/>
    </row>
    <row r="57" spans="2:36" s="59" customFormat="1" ht="21" customHeight="1" x14ac:dyDescent="0.25">
      <c r="B57" s="66"/>
      <c r="C57" s="67" t="s">
        <v>104</v>
      </c>
      <c r="D57" s="68"/>
      <c r="E57" s="554">
        <f>+E55</f>
        <v>291736.70227999997</v>
      </c>
      <c r="F57" s="555"/>
      <c r="G57" s="555"/>
      <c r="H57" s="556"/>
      <c r="I57" s="554">
        <f>+I55+E57</f>
        <v>867706.18501899997</v>
      </c>
      <c r="J57" s="555"/>
      <c r="K57" s="555"/>
      <c r="L57" s="556"/>
      <c r="M57" s="554">
        <f t="shared" ref="M57:M58" si="14">+M55+I57</f>
        <v>1399864.3742579999</v>
      </c>
      <c r="N57" s="555"/>
      <c r="O57" s="555"/>
      <c r="P57" s="556"/>
      <c r="Q57" s="554">
        <f t="shared" ref="Q57:Q58" si="15">+Q55+M57</f>
        <v>1897828.7194969999</v>
      </c>
      <c r="R57" s="555"/>
      <c r="S57" s="555"/>
      <c r="T57" s="556"/>
      <c r="U57" s="554">
        <f t="shared" ref="U57:U58" si="16">+U55+Q57</f>
        <v>2397523.4099999997</v>
      </c>
      <c r="V57" s="555"/>
      <c r="W57" s="555"/>
      <c r="X57" s="556"/>
      <c r="Y57" s="523"/>
      <c r="Z57" s="524"/>
      <c r="AA57" s="524"/>
      <c r="AB57" s="525"/>
      <c r="AC57" s="523"/>
      <c r="AD57" s="524"/>
      <c r="AE57" s="524"/>
      <c r="AF57" s="525"/>
      <c r="AG57" s="523"/>
      <c r="AH57" s="524"/>
      <c r="AI57" s="524"/>
      <c r="AJ57" s="534"/>
    </row>
    <row r="58" spans="2:36" s="59" customFormat="1" ht="21" customHeight="1" thickBot="1" x14ac:dyDescent="0.3">
      <c r="B58" s="69"/>
      <c r="C58" s="70" t="s">
        <v>105</v>
      </c>
      <c r="D58" s="70"/>
      <c r="E58" s="519">
        <f>E56</f>
        <v>0.12168252500191437</v>
      </c>
      <c r="F58" s="520"/>
      <c r="G58" s="520"/>
      <c r="H58" s="521"/>
      <c r="I58" s="519">
        <f>+I56+E58</f>
        <v>0.36191771116804239</v>
      </c>
      <c r="J58" s="520"/>
      <c r="K58" s="520"/>
      <c r="L58" s="521"/>
      <c r="M58" s="519">
        <f t="shared" si="14"/>
        <v>0.58387933499176969</v>
      </c>
      <c r="N58" s="520"/>
      <c r="O58" s="520"/>
      <c r="P58" s="521"/>
      <c r="Q58" s="519">
        <f t="shared" si="15"/>
        <v>0.79157880652226875</v>
      </c>
      <c r="R58" s="520"/>
      <c r="S58" s="520"/>
      <c r="T58" s="521"/>
      <c r="U58" s="519">
        <f t="shared" si="16"/>
        <v>1</v>
      </c>
      <c r="V58" s="520"/>
      <c r="W58" s="520"/>
      <c r="X58" s="521"/>
      <c r="Y58" s="519"/>
      <c r="Z58" s="520"/>
      <c r="AA58" s="520"/>
      <c r="AB58" s="521"/>
      <c r="AC58" s="519"/>
      <c r="AD58" s="520"/>
      <c r="AE58" s="520"/>
      <c r="AF58" s="521"/>
      <c r="AG58" s="519"/>
      <c r="AH58" s="520"/>
      <c r="AI58" s="520"/>
      <c r="AJ58" s="522"/>
    </row>
    <row r="60" spans="2:36" x14ac:dyDescent="0.25">
      <c r="D60" s="250"/>
    </row>
  </sheetData>
  <mergeCells count="286">
    <mergeCell ref="B1:AJ6"/>
    <mergeCell ref="U18:X18"/>
    <mergeCell ref="U19:X19"/>
    <mergeCell ref="U21:X21"/>
    <mergeCell ref="U22:X22"/>
    <mergeCell ref="U24:X24"/>
    <mergeCell ref="U25:X25"/>
    <mergeCell ref="U27:X27"/>
    <mergeCell ref="Q58:T58"/>
    <mergeCell ref="U34:X34"/>
    <mergeCell ref="U36:X36"/>
    <mergeCell ref="U37:X37"/>
    <mergeCell ref="U39:X39"/>
    <mergeCell ref="U52:X52"/>
    <mergeCell ref="U54:X54"/>
    <mergeCell ref="U55:X55"/>
    <mergeCell ref="U56:X56"/>
    <mergeCell ref="U57:X57"/>
    <mergeCell ref="U58:X58"/>
    <mergeCell ref="Q34:T34"/>
    <mergeCell ref="Q36:T36"/>
    <mergeCell ref="Q37:T37"/>
    <mergeCell ref="Q39:T39"/>
    <mergeCell ref="Q52:T52"/>
    <mergeCell ref="Q55:T55"/>
    <mergeCell ref="Q56:T56"/>
    <mergeCell ref="Q57:T57"/>
    <mergeCell ref="U28:X28"/>
    <mergeCell ref="D13:D15"/>
    <mergeCell ref="Y34:AB34"/>
    <mergeCell ref="Y36:AB36"/>
    <mergeCell ref="Y37:AB37"/>
    <mergeCell ref="Y39:AB39"/>
    <mergeCell ref="Q14:T14"/>
    <mergeCell ref="Q16:T16"/>
    <mergeCell ref="Q18:T18"/>
    <mergeCell ref="E18:H18"/>
    <mergeCell ref="Y14:AB14"/>
    <mergeCell ref="Y16:AB16"/>
    <mergeCell ref="Y18:AB18"/>
    <mergeCell ref="E14:H14"/>
    <mergeCell ref="Y52:AB52"/>
    <mergeCell ref="Y54:AB54"/>
    <mergeCell ref="Y56:AB56"/>
    <mergeCell ref="Y57:AB57"/>
    <mergeCell ref="Q22:T22"/>
    <mergeCell ref="Q24:T24"/>
    <mergeCell ref="Q25:T25"/>
    <mergeCell ref="B25:B27"/>
    <mergeCell ref="C25:C27"/>
    <mergeCell ref="B16:B18"/>
    <mergeCell ref="C16:C18"/>
    <mergeCell ref="B19:B21"/>
    <mergeCell ref="C19:C21"/>
    <mergeCell ref="B22:B24"/>
    <mergeCell ref="C22:C24"/>
    <mergeCell ref="B13:B15"/>
    <mergeCell ref="C13:C15"/>
    <mergeCell ref="Y58:AB58"/>
    <mergeCell ref="I14:L14"/>
    <mergeCell ref="E16:H16"/>
    <mergeCell ref="I16:L16"/>
    <mergeCell ref="Y19:AB19"/>
    <mergeCell ref="Y21:AB21"/>
    <mergeCell ref="Y22:AB22"/>
    <mergeCell ref="Y24:AB24"/>
    <mergeCell ref="Y55:AB55"/>
    <mergeCell ref="U14:X14"/>
    <mergeCell ref="U16:X16"/>
    <mergeCell ref="E25:H25"/>
    <mergeCell ref="I25:L25"/>
    <mergeCell ref="E27:H27"/>
    <mergeCell ref="I27:L27"/>
    <mergeCell ref="M24:P24"/>
    <mergeCell ref="I18:L18"/>
    <mergeCell ref="M16:P16"/>
    <mergeCell ref="M18:P18"/>
    <mergeCell ref="Y25:AB25"/>
    <mergeCell ref="Y27:AB27"/>
    <mergeCell ref="I19:L19"/>
    <mergeCell ref="Q19:T19"/>
    <mergeCell ref="Q21:T21"/>
    <mergeCell ref="I21:L21"/>
    <mergeCell ref="M19:P19"/>
    <mergeCell ref="M21:P21"/>
    <mergeCell ref="Q27:T27"/>
    <mergeCell ref="E19:H19"/>
    <mergeCell ref="E21:H21"/>
    <mergeCell ref="E33:H33"/>
    <mergeCell ref="B52:B54"/>
    <mergeCell ref="C52:C54"/>
    <mergeCell ref="B37:B39"/>
    <mergeCell ref="C37:C39"/>
    <mergeCell ref="M25:P25"/>
    <mergeCell ref="M27:P27"/>
    <mergeCell ref="E22:H22"/>
    <mergeCell ref="I22:L22"/>
    <mergeCell ref="E24:H24"/>
    <mergeCell ref="I24:L24"/>
    <mergeCell ref="M22:P22"/>
    <mergeCell ref="C31:C33"/>
    <mergeCell ref="I33:L33"/>
    <mergeCell ref="M33:P33"/>
    <mergeCell ref="B34:B36"/>
    <mergeCell ref="C34:C36"/>
    <mergeCell ref="B28:B30"/>
    <mergeCell ref="C28:C30"/>
    <mergeCell ref="B31:B33"/>
    <mergeCell ref="M55:P55"/>
    <mergeCell ref="M57:P57"/>
    <mergeCell ref="M58:P58"/>
    <mergeCell ref="I28:L28"/>
    <mergeCell ref="E30:H30"/>
    <mergeCell ref="I30:L30"/>
    <mergeCell ref="M28:P28"/>
    <mergeCell ref="M30:P30"/>
    <mergeCell ref="E56:H56"/>
    <mergeCell ref="E57:H57"/>
    <mergeCell ref="E58:H58"/>
    <mergeCell ref="I56:L56"/>
    <mergeCell ref="M56:P56"/>
    <mergeCell ref="I57:L57"/>
    <mergeCell ref="I58:L58"/>
    <mergeCell ref="E55:H55"/>
    <mergeCell ref="I55:L55"/>
    <mergeCell ref="B40:B42"/>
    <mergeCell ref="C40:C42"/>
    <mergeCell ref="E42:H42"/>
    <mergeCell ref="I42:L42"/>
    <mergeCell ref="M42:P42"/>
    <mergeCell ref="Y28:AB28"/>
    <mergeCell ref="Y30:AB30"/>
    <mergeCell ref="U30:X30"/>
    <mergeCell ref="Q28:T28"/>
    <mergeCell ref="Q30:T30"/>
    <mergeCell ref="E28:H28"/>
    <mergeCell ref="I31:L31"/>
    <mergeCell ref="M31:P31"/>
    <mergeCell ref="Y31:AB31"/>
    <mergeCell ref="Y33:AB33"/>
    <mergeCell ref="U31:X31"/>
    <mergeCell ref="U33:X33"/>
    <mergeCell ref="Q31:T31"/>
    <mergeCell ref="Q33:T33"/>
    <mergeCell ref="E31:H31"/>
    <mergeCell ref="M54:P54"/>
    <mergeCell ref="E37:H37"/>
    <mergeCell ref="I37:L37"/>
    <mergeCell ref="E39:H39"/>
    <mergeCell ref="I39:L39"/>
    <mergeCell ref="M37:P37"/>
    <mergeCell ref="M39:P39"/>
    <mergeCell ref="E52:H52"/>
    <mergeCell ref="I52:L52"/>
    <mergeCell ref="E54:H54"/>
    <mergeCell ref="I54:L54"/>
    <mergeCell ref="Q54:T54"/>
    <mergeCell ref="E40:H40"/>
    <mergeCell ref="I40:L40"/>
    <mergeCell ref="M40:P40"/>
    <mergeCell ref="Q40:T40"/>
    <mergeCell ref="U40:X40"/>
    <mergeCell ref="Y40:AB40"/>
    <mergeCell ref="AH7:AJ7"/>
    <mergeCell ref="AH8:AJ8"/>
    <mergeCell ref="AH9:AJ9"/>
    <mergeCell ref="AH10:AJ10"/>
    <mergeCell ref="M14:P14"/>
    <mergeCell ref="AC14:AF14"/>
    <mergeCell ref="M52:P52"/>
    <mergeCell ref="AH11:AJ11"/>
    <mergeCell ref="AG14:AJ14"/>
    <mergeCell ref="E13:AJ13"/>
    <mergeCell ref="E34:H34"/>
    <mergeCell ref="I34:L34"/>
    <mergeCell ref="E36:H36"/>
    <mergeCell ref="I36:L36"/>
    <mergeCell ref="M34:P34"/>
    <mergeCell ref="M36:P36"/>
    <mergeCell ref="AG16:AJ16"/>
    <mergeCell ref="AC18:AF18"/>
    <mergeCell ref="AG18:AJ18"/>
    <mergeCell ref="AC16:AF16"/>
    <mergeCell ref="AC22:AF22"/>
    <mergeCell ref="AG19:AJ19"/>
    <mergeCell ref="AC21:AF21"/>
    <mergeCell ref="AG21:AJ21"/>
    <mergeCell ref="AC19:AF19"/>
    <mergeCell ref="AG25:AJ25"/>
    <mergeCell ref="AC27:AF27"/>
    <mergeCell ref="AG27:AJ27"/>
    <mergeCell ref="AC25:AF25"/>
    <mergeCell ref="AG22:AJ22"/>
    <mergeCell ref="AC24:AF24"/>
    <mergeCell ref="AG24:AJ24"/>
    <mergeCell ref="AG31:AJ31"/>
    <mergeCell ref="AC33:AF33"/>
    <mergeCell ref="AG33:AJ33"/>
    <mergeCell ref="AC31:AF31"/>
    <mergeCell ref="AG28:AJ28"/>
    <mergeCell ref="AC30:AF30"/>
    <mergeCell ref="AG30:AJ30"/>
    <mergeCell ref="AC28:AF28"/>
    <mergeCell ref="AG34:AJ34"/>
    <mergeCell ref="AC34:AF34"/>
    <mergeCell ref="AC58:AF58"/>
    <mergeCell ref="AG58:AJ58"/>
    <mergeCell ref="AC57:AF57"/>
    <mergeCell ref="AG55:AJ55"/>
    <mergeCell ref="AC56:AF56"/>
    <mergeCell ref="AG56:AJ56"/>
    <mergeCell ref="AC55:AF55"/>
    <mergeCell ref="AC36:AF36"/>
    <mergeCell ref="AG36:AJ36"/>
    <mergeCell ref="AG52:AJ52"/>
    <mergeCell ref="AC54:AF54"/>
    <mergeCell ref="AG54:AJ54"/>
    <mergeCell ref="AC52:AF52"/>
    <mergeCell ref="AG37:AJ37"/>
    <mergeCell ref="AC39:AF39"/>
    <mergeCell ref="AG39:AJ39"/>
    <mergeCell ref="AC37:AF37"/>
    <mergeCell ref="AG57:AJ57"/>
    <mergeCell ref="AC40:AF40"/>
    <mergeCell ref="AG40:AJ40"/>
    <mergeCell ref="AG46:AJ46"/>
    <mergeCell ref="AG48:AJ48"/>
    <mergeCell ref="AG49:AJ49"/>
    <mergeCell ref="AG51:AJ51"/>
    <mergeCell ref="Q42:T42"/>
    <mergeCell ref="U42:X42"/>
    <mergeCell ref="Y42:AB42"/>
    <mergeCell ref="AC42:AF42"/>
    <mergeCell ref="AG42:AJ42"/>
    <mergeCell ref="B43:B45"/>
    <mergeCell ref="C43:C45"/>
    <mergeCell ref="E43:H43"/>
    <mergeCell ref="I43:L43"/>
    <mergeCell ref="M43:P43"/>
    <mergeCell ref="Q43:T43"/>
    <mergeCell ref="U43:X43"/>
    <mergeCell ref="Y43:AB43"/>
    <mergeCell ref="AC43:AF43"/>
    <mergeCell ref="AG43:AJ43"/>
    <mergeCell ref="E45:H45"/>
    <mergeCell ref="I45:L45"/>
    <mergeCell ref="M45:P45"/>
    <mergeCell ref="Q45:T45"/>
    <mergeCell ref="U45:X45"/>
    <mergeCell ref="Y45:AB45"/>
    <mergeCell ref="AC45:AF45"/>
    <mergeCell ref="AG45:AJ45"/>
    <mergeCell ref="U46:X46"/>
    <mergeCell ref="Y46:AB46"/>
    <mergeCell ref="AC46:AF46"/>
    <mergeCell ref="E48:H48"/>
    <mergeCell ref="I48:L48"/>
    <mergeCell ref="M48:P48"/>
    <mergeCell ref="Q48:T48"/>
    <mergeCell ref="U48:X48"/>
    <mergeCell ref="Y48:AB48"/>
    <mergeCell ref="AC48:AF48"/>
    <mergeCell ref="S9:U9"/>
    <mergeCell ref="C11:AF11"/>
    <mergeCell ref="B49:B51"/>
    <mergeCell ref="C49:C51"/>
    <mergeCell ref="E49:H49"/>
    <mergeCell ref="I49:L49"/>
    <mergeCell ref="M49:P49"/>
    <mergeCell ref="Q49:T49"/>
    <mergeCell ref="U49:X49"/>
    <mergeCell ref="Y49:AB49"/>
    <mergeCell ref="AC49:AF49"/>
    <mergeCell ref="E51:H51"/>
    <mergeCell ref="I51:L51"/>
    <mergeCell ref="M51:P51"/>
    <mergeCell ref="Q51:T51"/>
    <mergeCell ref="U51:X51"/>
    <mergeCell ref="Y51:AB51"/>
    <mergeCell ref="AC51:AF51"/>
    <mergeCell ref="B46:B48"/>
    <mergeCell ref="C46:C48"/>
    <mergeCell ref="E46:H46"/>
    <mergeCell ref="I46:L46"/>
    <mergeCell ref="M46:P46"/>
    <mergeCell ref="Q46:T46"/>
  </mergeCells>
  <printOptions horizontalCentered="1"/>
  <pageMargins left="0.51181102362204722" right="0.51181102362204722" top="0.59055118110236227" bottom="0.98425196850393704" header="0.31496062992125984" footer="0.31496062992125984"/>
  <pageSetup paperSize="9" scale="71" orientation="landscape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>
    <tabColor theme="6"/>
  </sheetPr>
  <dimension ref="B1:O172"/>
  <sheetViews>
    <sheetView showGridLines="0" showZeros="0" view="pageBreakPreview" zoomScale="70" zoomScaleNormal="100" zoomScaleSheetLayoutView="70" workbookViewId="0">
      <selection activeCell="D16" sqref="D16"/>
    </sheetView>
  </sheetViews>
  <sheetFormatPr defaultColWidth="9.140625" defaultRowHeight="12.75" x14ac:dyDescent="0.25"/>
  <cols>
    <col min="1" max="1" width="6.42578125" style="140" customWidth="1"/>
    <col min="2" max="2" width="12.85546875" style="140" customWidth="1"/>
    <col min="3" max="3" width="11.42578125" style="140" customWidth="1"/>
    <col min="4" max="4" width="156.42578125" style="140" customWidth="1"/>
    <col min="5" max="5" width="10.85546875" style="141" customWidth="1"/>
    <col min="6" max="6" width="9.140625" style="142" customWidth="1"/>
    <col min="7" max="7" width="15.42578125" style="142" customWidth="1"/>
    <col min="8" max="8" width="16" style="142" customWidth="1"/>
    <col min="9" max="9" width="11.85546875" style="142" customWidth="1"/>
    <col min="10" max="10" width="11.5703125" style="142" customWidth="1"/>
    <col min="11" max="11" width="1.5703125" style="140" customWidth="1"/>
    <col min="12" max="16384" width="9.140625" style="140"/>
  </cols>
  <sheetData>
    <row r="1" spans="2:15" s="21" customFormat="1" ht="9.9499999999999993" customHeight="1" x14ac:dyDescent="0.25">
      <c r="B1" s="468" t="s">
        <v>335</v>
      </c>
      <c r="C1" s="468"/>
      <c r="D1" s="468"/>
      <c r="E1" s="468"/>
      <c r="F1" s="468"/>
      <c r="G1" s="468"/>
      <c r="H1" s="468"/>
      <c r="I1" s="468"/>
      <c r="J1" s="468"/>
      <c r="K1" s="143"/>
      <c r="L1" s="143"/>
      <c r="M1" s="143"/>
      <c r="N1" s="143"/>
      <c r="O1" s="143"/>
    </row>
    <row r="2" spans="2:15" s="21" customFormat="1" ht="9.9499999999999993" customHeight="1" x14ac:dyDescent="0.25">
      <c r="B2" s="468"/>
      <c r="C2" s="468"/>
      <c r="D2" s="468"/>
      <c r="E2" s="468"/>
      <c r="F2" s="468"/>
      <c r="G2" s="468"/>
      <c r="H2" s="468"/>
      <c r="I2" s="468"/>
      <c r="J2" s="468"/>
      <c r="K2" s="143"/>
      <c r="L2" s="143"/>
      <c r="M2" s="143"/>
      <c r="N2" s="143"/>
      <c r="O2" s="143"/>
    </row>
    <row r="3" spans="2:15" s="21" customFormat="1" ht="9.9499999999999993" customHeight="1" x14ac:dyDescent="0.25">
      <c r="B3" s="468"/>
      <c r="C3" s="468"/>
      <c r="D3" s="468"/>
      <c r="E3" s="468"/>
      <c r="F3" s="468"/>
      <c r="G3" s="468"/>
      <c r="H3" s="468"/>
      <c r="I3" s="468"/>
      <c r="J3" s="468"/>
      <c r="K3" s="143"/>
      <c r="L3" s="143"/>
      <c r="M3" s="143"/>
      <c r="N3" s="143"/>
      <c r="O3" s="143"/>
    </row>
    <row r="4" spans="2:15" s="21" customFormat="1" ht="9.9499999999999993" customHeight="1" x14ac:dyDescent="0.25">
      <c r="B4" s="468"/>
      <c r="C4" s="468"/>
      <c r="D4" s="468"/>
      <c r="E4" s="468"/>
      <c r="F4" s="468"/>
      <c r="G4" s="468"/>
      <c r="H4" s="468"/>
      <c r="I4" s="468"/>
      <c r="J4" s="468"/>
      <c r="K4" s="143"/>
      <c r="L4" s="143"/>
      <c r="M4" s="143"/>
      <c r="N4" s="143"/>
      <c r="O4" s="143"/>
    </row>
    <row r="5" spans="2:15" s="21" customFormat="1" ht="9.9499999999999993" customHeight="1" x14ac:dyDescent="0.25">
      <c r="B5" s="468"/>
      <c r="C5" s="468"/>
      <c r="D5" s="468"/>
      <c r="E5" s="468"/>
      <c r="F5" s="468"/>
      <c r="G5" s="468"/>
      <c r="H5" s="468"/>
      <c r="I5" s="468"/>
      <c r="J5" s="468"/>
      <c r="K5" s="143"/>
      <c r="L5" s="143"/>
      <c r="M5" s="143"/>
      <c r="N5" s="143"/>
      <c r="O5" s="143"/>
    </row>
    <row r="6" spans="2:15" s="21" customFormat="1" ht="9.9499999999999993" customHeight="1" x14ac:dyDescent="0.25">
      <c r="B6" s="468"/>
      <c r="C6" s="468"/>
      <c r="D6" s="468"/>
      <c r="E6" s="468"/>
      <c r="F6" s="468"/>
      <c r="G6" s="468"/>
      <c r="H6" s="468"/>
      <c r="I6" s="468"/>
      <c r="J6" s="468"/>
      <c r="K6" s="143"/>
      <c r="L6" s="143"/>
      <c r="M6" s="143"/>
      <c r="N6" s="143"/>
      <c r="O6" s="143"/>
    </row>
    <row r="7" spans="2:15" s="21" customFormat="1" x14ac:dyDescent="0.25">
      <c r="E7" s="22"/>
      <c r="F7" s="23"/>
      <c r="G7" s="23"/>
      <c r="H7" s="23"/>
    </row>
    <row r="8" spans="2:15" s="12" customFormat="1" ht="15" customHeight="1" x14ac:dyDescent="0.25">
      <c r="B8" s="8" t="s">
        <v>50</v>
      </c>
      <c r="C8" s="13" t="str">
        <f>'DADOS DA OBRA'!$B$13</f>
        <v>TRIBUNAL REGIONAL ELEITORAL - PIAUÍ</v>
      </c>
      <c r="E8" s="137"/>
      <c r="F8" s="86" t="s">
        <v>146</v>
      </c>
      <c r="G8" s="259" t="str">
        <f>+'DADOS DA OBRA'!$N$25</f>
        <v>22/11/2021</v>
      </c>
      <c r="H8" s="122"/>
      <c r="I8" s="10" t="s">
        <v>71</v>
      </c>
      <c r="J8" s="52">
        <f>+'DADOS DA OBRA'!$J$25</f>
        <v>1.1186</v>
      </c>
      <c r="K8" s="9"/>
    </row>
    <row r="9" spans="2:15" s="12" customFormat="1" ht="15" customHeight="1" x14ac:dyDescent="0.25">
      <c r="B9" s="8" t="s">
        <v>69</v>
      </c>
      <c r="C9" s="13" t="str">
        <f>'DADOS DA OBRA'!$B$16</f>
        <v>ADEQUAÇÃO DE INSTALAÇÕES ELÉTRICAS E CABEAMENTO ESTRUTURADO - EDIFÍCIO SEDE</v>
      </c>
      <c r="E9" s="137"/>
      <c r="F9" s="258" t="s">
        <v>52</v>
      </c>
      <c r="G9" s="259">
        <f>'DADOS DA OBRA'!$N$28</f>
        <v>44733</v>
      </c>
      <c r="H9" s="123"/>
      <c r="I9" s="10" t="s">
        <v>72</v>
      </c>
      <c r="J9" s="52">
        <f>+'DADOS DA OBRA'!$J$28</f>
        <v>0.70630000000000004</v>
      </c>
    </row>
    <row r="10" spans="2:15" s="12" customFormat="1" ht="15" customHeight="1" x14ac:dyDescent="0.25">
      <c r="B10" s="8" t="s">
        <v>53</v>
      </c>
      <c r="C10" s="9" t="str">
        <f>+""&amp;'DADOS DA OBRA'!$B$19&amp;", "&amp;'DADOS DA OBRA'!$J$22&amp;", "&amp;'DADOS DA OBRA'!$P$22</f>
        <v>PRAÇA EDGAR NOGUEIRA, TERESINA, PI</v>
      </c>
      <c r="E10" s="137"/>
      <c r="F10" s="86" t="s">
        <v>147</v>
      </c>
      <c r="G10" s="259" t="str">
        <f>+'DADOS DA OBRA'!$B$28</f>
        <v>05 MESES</v>
      </c>
      <c r="H10" s="123"/>
      <c r="I10" s="10" t="s">
        <v>140</v>
      </c>
      <c r="J10" s="52">
        <f>+'DADOS DA OBRA'!$F$25</f>
        <v>0.21960000000000002</v>
      </c>
    </row>
    <row r="11" spans="2:15" s="12" customFormat="1" ht="74.45" customHeight="1" x14ac:dyDescent="0.25">
      <c r="B11" s="8" t="s">
        <v>70</v>
      </c>
      <c r="C11" s="480" t="str">
        <f>+'DADOS DA OBRA'!$B$31</f>
        <v>SINAPI - 04/2022 - PIAUÍ   	SBC - 05/2022 - TSA - Teresina - PI  ORSE - 03/2022 - SERGIPE      ETOP - 03/2022 - Minas Gerais - Central SUDECAP - 02/2022 - MINAS GERAIS    CPOS - 02/2022 - São Paulo AGESUL - 01/2022 - MATO GROSSO DO SUL     GETOP CIVIL - 04/2022 - Goiás EMOP - 04/2022 - RIO DE JANEIRO</v>
      </c>
      <c r="D11" s="480"/>
      <c r="E11" s="480"/>
      <c r="F11" s="480"/>
      <c r="G11" s="480"/>
      <c r="H11" s="123"/>
      <c r="I11" s="10" t="s">
        <v>141</v>
      </c>
      <c r="J11" s="52">
        <f>+'DADOS DA OBRA'!$F$28</f>
        <v>0.1527</v>
      </c>
      <c r="M11" s="10"/>
    </row>
    <row r="12" spans="2:15" s="20" customFormat="1" ht="6.95" customHeight="1" thickBot="1" x14ac:dyDescent="0.3">
      <c r="E12" s="84"/>
      <c r="F12" s="80"/>
      <c r="G12" s="80"/>
      <c r="H12" s="80"/>
      <c r="J12" s="73"/>
      <c r="K12" s="74"/>
    </row>
    <row r="13" spans="2:15" ht="20.100000000000001" customHeight="1" x14ac:dyDescent="0.25">
      <c r="B13" s="575" t="s">
        <v>45</v>
      </c>
      <c r="C13" s="577" t="s">
        <v>44</v>
      </c>
      <c r="D13" s="579" t="s">
        <v>11</v>
      </c>
      <c r="E13" s="581" t="s">
        <v>24</v>
      </c>
      <c r="F13" s="581" t="s">
        <v>12</v>
      </c>
      <c r="G13" s="581" t="s">
        <v>20</v>
      </c>
      <c r="H13" s="581" t="s">
        <v>14</v>
      </c>
      <c r="I13" s="573" t="s">
        <v>25</v>
      </c>
      <c r="J13" s="568" t="s">
        <v>26</v>
      </c>
    </row>
    <row r="14" spans="2:15" ht="20.100000000000001" customHeight="1" x14ac:dyDescent="0.25">
      <c r="B14" s="576"/>
      <c r="C14" s="578"/>
      <c r="D14" s="580"/>
      <c r="E14" s="582"/>
      <c r="F14" s="582"/>
      <c r="G14" s="582"/>
      <c r="H14" s="582"/>
      <c r="I14" s="574"/>
      <c r="J14" s="569"/>
    </row>
    <row r="15" spans="2:15" s="109" customFormat="1" ht="14.25" x14ac:dyDescent="0.2">
      <c r="B15" s="441" t="s">
        <v>892</v>
      </c>
      <c r="C15" s="441" t="s">
        <v>125</v>
      </c>
      <c r="D15" s="441" t="s">
        <v>1391</v>
      </c>
      <c r="E15" s="441" t="s">
        <v>35</v>
      </c>
      <c r="F15" s="441">
        <v>900</v>
      </c>
      <c r="G15" s="442">
        <v>413.84</v>
      </c>
      <c r="H15" s="442">
        <v>372462.18</v>
      </c>
      <c r="I15" s="422">
        <f t="shared" ref="I15:I46" si="0">H15/$H$172</f>
        <v>0.15535288558454569</v>
      </c>
      <c r="J15" s="423">
        <f>I15</f>
        <v>0.15535288558454569</v>
      </c>
      <c r="L15" s="138"/>
      <c r="M15" s="138"/>
    </row>
    <row r="16" spans="2:15" s="109" customFormat="1" ht="14.25" x14ac:dyDescent="0.2">
      <c r="B16" s="441" t="s">
        <v>883</v>
      </c>
      <c r="C16" s="441" t="s">
        <v>875</v>
      </c>
      <c r="D16" s="441" t="s">
        <v>884</v>
      </c>
      <c r="E16" s="441" t="s">
        <v>877</v>
      </c>
      <c r="F16" s="441">
        <v>38873.9</v>
      </c>
      <c r="G16" s="442">
        <v>5.58</v>
      </c>
      <c r="H16" s="442">
        <v>217140.58</v>
      </c>
      <c r="I16" s="422">
        <f t="shared" si="0"/>
        <v>9.0568700640966796E-2</v>
      </c>
      <c r="J16" s="423">
        <f>J15+I16</f>
        <v>0.24592158622551247</v>
      </c>
      <c r="L16" s="138"/>
      <c r="M16" s="138"/>
    </row>
    <row r="17" spans="2:13" s="109" customFormat="1" ht="14.25" x14ac:dyDescent="0.2">
      <c r="B17" s="441" t="s">
        <v>1390</v>
      </c>
      <c r="C17" s="441" t="s">
        <v>125</v>
      </c>
      <c r="D17" s="441" t="s">
        <v>304</v>
      </c>
      <c r="E17" s="441" t="s">
        <v>35</v>
      </c>
      <c r="F17" s="441">
        <v>2211</v>
      </c>
      <c r="G17" s="442">
        <v>60.05</v>
      </c>
      <c r="H17" s="442">
        <v>132777.41</v>
      </c>
      <c r="I17" s="422">
        <f t="shared" si="0"/>
        <v>5.538106925095674E-2</v>
      </c>
      <c r="J17" s="423">
        <f t="shared" ref="J17:J134" si="1">J16+I17</f>
        <v>0.30130265547646923</v>
      </c>
      <c r="L17" s="138"/>
      <c r="M17" s="138"/>
    </row>
    <row r="18" spans="2:13" s="109" customFormat="1" ht="14.25" x14ac:dyDescent="0.2">
      <c r="B18" s="441" t="s">
        <v>1390</v>
      </c>
      <c r="C18" s="441" t="s">
        <v>125</v>
      </c>
      <c r="D18" s="441" t="s">
        <v>304</v>
      </c>
      <c r="E18" s="441" t="s">
        <v>35</v>
      </c>
      <c r="F18" s="441">
        <v>2032</v>
      </c>
      <c r="G18" s="442">
        <v>60.05</v>
      </c>
      <c r="H18" s="442">
        <v>122027.9</v>
      </c>
      <c r="I18" s="422">
        <f t="shared" si="0"/>
        <v>5.0897480079245584E-2</v>
      </c>
      <c r="J18" s="423">
        <f t="shared" si="1"/>
        <v>0.35220013555571483</v>
      </c>
      <c r="L18" s="138"/>
      <c r="M18" s="138"/>
    </row>
    <row r="19" spans="2:13" s="109" customFormat="1" ht="14.25" x14ac:dyDescent="0.2">
      <c r="B19" s="441" t="s">
        <v>739</v>
      </c>
      <c r="C19" s="441" t="s">
        <v>31</v>
      </c>
      <c r="D19" s="441" t="s">
        <v>740</v>
      </c>
      <c r="E19" s="441" t="s">
        <v>120</v>
      </c>
      <c r="F19" s="441">
        <v>5</v>
      </c>
      <c r="G19" s="442">
        <v>19561.95</v>
      </c>
      <c r="H19" s="442">
        <v>97809.78</v>
      </c>
      <c r="I19" s="422">
        <f t="shared" si="0"/>
        <v>4.079617308095438E-2</v>
      </c>
      <c r="J19" s="423">
        <f t="shared" si="1"/>
        <v>0.39299630863666923</v>
      </c>
      <c r="L19" s="138"/>
      <c r="M19" s="138"/>
    </row>
    <row r="20" spans="2:13" s="109" customFormat="1" ht="14.25" x14ac:dyDescent="0.2">
      <c r="B20" s="441">
        <v>90953</v>
      </c>
      <c r="C20" s="441" t="s">
        <v>1375</v>
      </c>
      <c r="D20" s="441" t="s">
        <v>1415</v>
      </c>
      <c r="E20" s="441" t="s">
        <v>22</v>
      </c>
      <c r="F20" s="441">
        <v>244</v>
      </c>
      <c r="G20" s="442">
        <v>346.96</v>
      </c>
      <c r="H20" s="442">
        <v>84659.21</v>
      </c>
      <c r="I20" s="422">
        <f t="shared" si="0"/>
        <v>3.5311108807901052E-2</v>
      </c>
      <c r="J20" s="423">
        <f t="shared" si="1"/>
        <v>0.42830741744457029</v>
      </c>
      <c r="L20" s="138"/>
      <c r="M20" s="138"/>
    </row>
    <row r="21" spans="2:13" s="109" customFormat="1" ht="14.25" x14ac:dyDescent="0.2">
      <c r="B21" s="441" t="s">
        <v>769</v>
      </c>
      <c r="C21" s="441" t="s">
        <v>31</v>
      </c>
      <c r="D21" s="441" t="s">
        <v>770</v>
      </c>
      <c r="E21" s="441" t="s">
        <v>35</v>
      </c>
      <c r="F21" s="441">
        <v>17188</v>
      </c>
      <c r="G21" s="442">
        <v>4.6399999999999997</v>
      </c>
      <c r="H21" s="442">
        <v>79867.06</v>
      </c>
      <c r="I21" s="422">
        <f t="shared" si="0"/>
        <v>3.3312317063047971E-2</v>
      </c>
      <c r="J21" s="423">
        <f t="shared" si="1"/>
        <v>0.46161973450761828</v>
      </c>
      <c r="L21" s="138"/>
      <c r="M21" s="138"/>
    </row>
    <row r="22" spans="2:13" s="109" customFormat="1" ht="14.25" x14ac:dyDescent="0.2">
      <c r="B22" s="441" t="s">
        <v>745</v>
      </c>
      <c r="C22" s="441" t="s">
        <v>125</v>
      </c>
      <c r="D22" s="441" t="s">
        <v>581</v>
      </c>
      <c r="E22" s="441" t="s">
        <v>2</v>
      </c>
      <c r="F22" s="441">
        <v>2480.1999999999998</v>
      </c>
      <c r="G22" s="442">
        <v>29.89</v>
      </c>
      <c r="H22" s="442">
        <v>74139.12</v>
      </c>
      <c r="I22" s="422">
        <f t="shared" si="0"/>
        <v>3.0923210046987597E-2</v>
      </c>
      <c r="J22" s="423">
        <f t="shared" si="1"/>
        <v>0.4925429445546059</v>
      </c>
      <c r="L22" s="138"/>
      <c r="M22" s="138"/>
    </row>
    <row r="23" spans="2:13" s="109" customFormat="1" ht="14.25" x14ac:dyDescent="0.2">
      <c r="B23" s="441">
        <v>91863</v>
      </c>
      <c r="C23" s="441" t="s">
        <v>31</v>
      </c>
      <c r="D23" s="441" t="s">
        <v>1405</v>
      </c>
      <c r="E23" s="441" t="s">
        <v>35</v>
      </c>
      <c r="F23" s="441">
        <v>5535</v>
      </c>
      <c r="G23" s="442">
        <v>12.13</v>
      </c>
      <c r="H23" s="442">
        <v>67167.33</v>
      </c>
      <c r="I23" s="422">
        <f t="shared" si="0"/>
        <v>2.8015296834995231E-2</v>
      </c>
      <c r="J23" s="423">
        <f t="shared" si="1"/>
        <v>0.52055824138960116</v>
      </c>
      <c r="L23" s="138"/>
      <c r="M23" s="138"/>
    </row>
    <row r="24" spans="2:13" s="109" customFormat="1" ht="14.25" x14ac:dyDescent="0.2">
      <c r="B24" s="441" t="s">
        <v>1288</v>
      </c>
      <c r="C24" s="441" t="s">
        <v>267</v>
      </c>
      <c r="D24" s="441" t="s">
        <v>1289</v>
      </c>
      <c r="E24" s="441" t="s">
        <v>35</v>
      </c>
      <c r="F24" s="441">
        <v>1474.9</v>
      </c>
      <c r="G24" s="442">
        <v>42.74</v>
      </c>
      <c r="H24" s="442">
        <v>63047.519999999997</v>
      </c>
      <c r="I24" s="422">
        <f t="shared" si="0"/>
        <v>2.6296936137111575E-2</v>
      </c>
      <c r="J24" s="423">
        <f t="shared" si="1"/>
        <v>0.54685517752671275</v>
      </c>
      <c r="L24" s="138"/>
      <c r="M24" s="138"/>
    </row>
    <row r="25" spans="2:13" s="109" customFormat="1" ht="14.25" x14ac:dyDescent="0.2">
      <c r="B25" s="441" t="s">
        <v>781</v>
      </c>
      <c r="C25" s="441" t="s">
        <v>31</v>
      </c>
      <c r="D25" s="441" t="s">
        <v>782</v>
      </c>
      <c r="E25" s="441" t="s">
        <v>22</v>
      </c>
      <c r="F25" s="441">
        <v>54</v>
      </c>
      <c r="G25" s="442">
        <v>1097.96</v>
      </c>
      <c r="H25" s="442">
        <v>59290.34</v>
      </c>
      <c r="I25" s="422">
        <f t="shared" si="0"/>
        <v>2.4729827351299968E-2</v>
      </c>
      <c r="J25" s="423">
        <f t="shared" si="1"/>
        <v>0.57158500487801267</v>
      </c>
      <c r="L25" s="138"/>
      <c r="M25" s="138"/>
    </row>
    <row r="26" spans="2:13" s="109" customFormat="1" ht="14.25" x14ac:dyDescent="0.2">
      <c r="B26" s="441" t="s">
        <v>1043</v>
      </c>
      <c r="C26" s="441" t="s">
        <v>905</v>
      </c>
      <c r="D26" s="441" t="s">
        <v>1044</v>
      </c>
      <c r="E26" s="441" t="s">
        <v>847</v>
      </c>
      <c r="F26" s="441">
        <v>1728</v>
      </c>
      <c r="G26" s="442">
        <v>31.85</v>
      </c>
      <c r="H26" s="442">
        <v>55047.08</v>
      </c>
      <c r="I26" s="422">
        <f t="shared" si="0"/>
        <v>2.2959976019587637E-2</v>
      </c>
      <c r="J26" s="423">
        <f t="shared" si="1"/>
        <v>0.59454498089760033</v>
      </c>
      <c r="L26" s="138"/>
      <c r="M26" s="138"/>
    </row>
    <row r="27" spans="2:13" s="109" customFormat="1" ht="14.25" x14ac:dyDescent="0.2">
      <c r="B27" s="441" t="s">
        <v>1045</v>
      </c>
      <c r="C27" s="441" t="s">
        <v>267</v>
      </c>
      <c r="D27" s="441" t="s">
        <v>1046</v>
      </c>
      <c r="E27" s="441" t="s">
        <v>22</v>
      </c>
      <c r="F27" s="441">
        <v>864</v>
      </c>
      <c r="G27" s="442">
        <v>52.66</v>
      </c>
      <c r="H27" s="442">
        <v>45500.25</v>
      </c>
      <c r="I27" s="422">
        <f t="shared" si="0"/>
        <v>1.897802115725743E-2</v>
      </c>
      <c r="J27" s="423">
        <f t="shared" si="1"/>
        <v>0.61352300205485777</v>
      </c>
      <c r="L27" s="138"/>
      <c r="M27" s="138"/>
    </row>
    <row r="28" spans="2:13" s="109" customFormat="1" ht="14.25" x14ac:dyDescent="0.2">
      <c r="B28" s="441">
        <v>100903</v>
      </c>
      <c r="C28" s="441" t="s">
        <v>31</v>
      </c>
      <c r="D28" s="441" t="s">
        <v>1417</v>
      </c>
      <c r="E28" s="441" t="s">
        <v>22</v>
      </c>
      <c r="F28" s="441">
        <v>1138</v>
      </c>
      <c r="G28" s="442">
        <v>38.840000000000003</v>
      </c>
      <c r="H28" s="442">
        <v>44204.76</v>
      </c>
      <c r="I28" s="422">
        <f t="shared" si="0"/>
        <v>1.843767606840593E-2</v>
      </c>
      <c r="J28" s="423">
        <f t="shared" si="1"/>
        <v>0.63196067812326373</v>
      </c>
      <c r="L28" s="138"/>
      <c r="M28" s="138"/>
    </row>
    <row r="29" spans="2:13" s="109" customFormat="1" ht="14.25" x14ac:dyDescent="0.2">
      <c r="B29" s="441" t="s">
        <v>771</v>
      </c>
      <c r="C29" s="441" t="s">
        <v>125</v>
      </c>
      <c r="D29" s="441" t="s">
        <v>553</v>
      </c>
      <c r="E29" s="441" t="s">
        <v>22</v>
      </c>
      <c r="F29" s="441">
        <v>373</v>
      </c>
      <c r="G29" s="442">
        <v>98.65</v>
      </c>
      <c r="H29" s="442">
        <v>36797.730000000003</v>
      </c>
      <c r="I29" s="422">
        <f t="shared" si="0"/>
        <v>1.5348225525772859E-2</v>
      </c>
      <c r="J29" s="423">
        <f t="shared" si="1"/>
        <v>0.64730890364903659</v>
      </c>
      <c r="L29" s="138"/>
      <c r="M29" s="138"/>
    </row>
    <row r="30" spans="2:13" s="109" customFormat="1" ht="14.25" x14ac:dyDescent="0.2">
      <c r="B30" s="441" t="s">
        <v>1017</v>
      </c>
      <c r="C30" s="441" t="s">
        <v>177</v>
      </c>
      <c r="D30" s="441" t="s">
        <v>1018</v>
      </c>
      <c r="E30" s="441" t="s">
        <v>227</v>
      </c>
      <c r="F30" s="441">
        <v>823</v>
      </c>
      <c r="G30" s="442">
        <v>44.14</v>
      </c>
      <c r="H30" s="442">
        <v>36335.050000000003</v>
      </c>
      <c r="I30" s="422">
        <f t="shared" si="0"/>
        <v>1.5155243051411952E-2</v>
      </c>
      <c r="J30" s="423">
        <f t="shared" si="1"/>
        <v>0.66246414670044851</v>
      </c>
      <c r="L30" s="138"/>
      <c r="M30" s="138"/>
    </row>
    <row r="31" spans="2:13" s="109" customFormat="1" ht="14.25" x14ac:dyDescent="0.2">
      <c r="B31" s="441" t="s">
        <v>744</v>
      </c>
      <c r="C31" s="441" t="s">
        <v>214</v>
      </c>
      <c r="D31" s="441" t="s">
        <v>731</v>
      </c>
      <c r="E31" s="441" t="s">
        <v>2</v>
      </c>
      <c r="F31" s="441">
        <v>2480.1999999999998</v>
      </c>
      <c r="G31" s="442">
        <v>14.2</v>
      </c>
      <c r="H31" s="442">
        <v>35239.519999999997</v>
      </c>
      <c r="I31" s="422">
        <f t="shared" si="0"/>
        <v>1.4698300693547757E-2</v>
      </c>
      <c r="J31" s="423">
        <f t="shared" si="1"/>
        <v>0.67716244739399623</v>
      </c>
      <c r="L31" s="138"/>
      <c r="M31" s="138"/>
    </row>
    <row r="32" spans="2:13" s="109" customFormat="1" ht="14.25" x14ac:dyDescent="0.2">
      <c r="B32" s="441" t="s">
        <v>1056</v>
      </c>
      <c r="C32" s="441" t="s">
        <v>31</v>
      </c>
      <c r="D32" s="441" t="s">
        <v>1057</v>
      </c>
      <c r="E32" s="441" t="s">
        <v>120</v>
      </c>
      <c r="F32" s="441">
        <v>5</v>
      </c>
      <c r="G32" s="442">
        <v>6588.25</v>
      </c>
      <c r="H32" s="442">
        <v>32941.269999999997</v>
      </c>
      <c r="I32" s="422">
        <f t="shared" si="0"/>
        <v>1.3739707342419643E-2</v>
      </c>
      <c r="J32" s="423">
        <f t="shared" si="1"/>
        <v>0.69090215473641592</v>
      </c>
      <c r="L32" s="138"/>
      <c r="M32" s="138"/>
    </row>
    <row r="33" spans="2:13" s="109" customFormat="1" ht="14.25" x14ac:dyDescent="0.2">
      <c r="B33" s="441" t="s">
        <v>1508</v>
      </c>
      <c r="C33" s="441" t="s">
        <v>214</v>
      </c>
      <c r="D33" s="441" t="s">
        <v>1509</v>
      </c>
      <c r="E33" s="441" t="s">
        <v>2</v>
      </c>
      <c r="F33" s="441">
        <v>170.22</v>
      </c>
      <c r="G33" s="442">
        <v>181.74</v>
      </c>
      <c r="H33" s="442">
        <v>30936.59</v>
      </c>
      <c r="I33" s="422">
        <f t="shared" si="0"/>
        <v>1.2903561179408874E-2</v>
      </c>
      <c r="J33" s="423">
        <f t="shared" si="1"/>
        <v>0.70380571591582475</v>
      </c>
      <c r="L33" s="138"/>
      <c r="M33" s="138"/>
    </row>
    <row r="34" spans="2:13" s="109" customFormat="1" ht="14.25" x14ac:dyDescent="0.2">
      <c r="B34" s="441" t="s">
        <v>119</v>
      </c>
      <c r="C34" s="441" t="s">
        <v>31</v>
      </c>
      <c r="D34" s="441" t="s">
        <v>113</v>
      </c>
      <c r="E34" s="441" t="s">
        <v>120</v>
      </c>
      <c r="F34" s="441">
        <v>5</v>
      </c>
      <c r="G34" s="442">
        <v>6096.46</v>
      </c>
      <c r="H34" s="442">
        <v>30482.31</v>
      </c>
      <c r="I34" s="422">
        <f t="shared" si="0"/>
        <v>1.271408232047252E-2</v>
      </c>
      <c r="J34" s="423">
        <f t="shared" si="1"/>
        <v>0.7165197982362973</v>
      </c>
      <c r="L34" s="138"/>
      <c r="M34" s="138"/>
    </row>
    <row r="35" spans="2:13" s="109" customFormat="1" ht="14.25" x14ac:dyDescent="0.2">
      <c r="B35" s="441" t="s">
        <v>781</v>
      </c>
      <c r="C35" s="441" t="s">
        <v>31</v>
      </c>
      <c r="D35" s="441" t="s">
        <v>782</v>
      </c>
      <c r="E35" s="441" t="s">
        <v>22</v>
      </c>
      <c r="F35" s="441">
        <v>24</v>
      </c>
      <c r="G35" s="442">
        <v>1097.96</v>
      </c>
      <c r="H35" s="442">
        <v>26351.26</v>
      </c>
      <c r="I35" s="422">
        <f t="shared" si="0"/>
        <v>1.0991033451473155E-2</v>
      </c>
      <c r="J35" s="423">
        <f t="shared" si="1"/>
        <v>0.72751083168777042</v>
      </c>
      <c r="L35" s="138"/>
      <c r="M35" s="138"/>
    </row>
    <row r="36" spans="2:13" s="109" customFormat="1" ht="14.25" x14ac:dyDescent="0.2">
      <c r="B36" s="441">
        <v>59252</v>
      </c>
      <c r="C36" s="441" t="s">
        <v>214</v>
      </c>
      <c r="D36" s="441" t="s">
        <v>1358</v>
      </c>
      <c r="E36" s="441" t="s">
        <v>22</v>
      </c>
      <c r="F36" s="441">
        <v>18</v>
      </c>
      <c r="G36" s="442">
        <v>1383.69</v>
      </c>
      <c r="H36" s="442">
        <v>24906.54</v>
      </c>
      <c r="I36" s="422">
        <f t="shared" si="0"/>
        <v>1.0388444966216196E-2</v>
      </c>
      <c r="J36" s="423">
        <f t="shared" si="1"/>
        <v>0.73789927665398658</v>
      </c>
      <c r="L36" s="138"/>
      <c r="M36" s="138"/>
    </row>
    <row r="37" spans="2:13" s="109" customFormat="1" ht="14.25" x14ac:dyDescent="0.2">
      <c r="B37" s="441">
        <v>59252</v>
      </c>
      <c r="C37" s="441" t="s">
        <v>214</v>
      </c>
      <c r="D37" s="441" t="s">
        <v>1358</v>
      </c>
      <c r="E37" s="441" t="s">
        <v>22</v>
      </c>
      <c r="F37" s="441">
        <v>15</v>
      </c>
      <c r="G37" s="442">
        <v>1383.69</v>
      </c>
      <c r="H37" s="442">
        <v>20755.45</v>
      </c>
      <c r="I37" s="422">
        <f t="shared" si="0"/>
        <v>8.6570374718468301E-3</v>
      </c>
      <c r="J37" s="423">
        <f t="shared" si="1"/>
        <v>0.74655631412583345</v>
      </c>
      <c r="L37" s="138"/>
      <c r="M37" s="138"/>
    </row>
    <row r="38" spans="2:13" s="109" customFormat="1" ht="14.25" x14ac:dyDescent="0.2">
      <c r="B38" s="441" t="s">
        <v>1280</v>
      </c>
      <c r="C38" s="441" t="s">
        <v>125</v>
      </c>
      <c r="D38" s="441" t="s">
        <v>1281</v>
      </c>
      <c r="E38" s="441" t="s">
        <v>22</v>
      </c>
      <c r="F38" s="441">
        <v>1</v>
      </c>
      <c r="G38" s="442">
        <v>20370.46</v>
      </c>
      <c r="H38" s="442">
        <v>20370.46</v>
      </c>
      <c r="I38" s="422">
        <f t="shared" si="0"/>
        <v>8.4964592691922827E-3</v>
      </c>
      <c r="J38" s="423">
        <f t="shared" si="1"/>
        <v>0.75505277339502574</v>
      </c>
      <c r="L38" s="138"/>
      <c r="M38" s="138"/>
    </row>
    <row r="39" spans="2:13" s="109" customFormat="1" ht="14.25" x14ac:dyDescent="0.2">
      <c r="B39" s="441" t="s">
        <v>1412</v>
      </c>
      <c r="C39" s="441" t="s">
        <v>125</v>
      </c>
      <c r="D39" s="441" t="s">
        <v>1413</v>
      </c>
      <c r="E39" s="441" t="s">
        <v>35</v>
      </c>
      <c r="F39" s="441">
        <v>43291.100000000006</v>
      </c>
      <c r="G39" s="442">
        <v>0.45</v>
      </c>
      <c r="H39" s="442">
        <v>19535.189999999999</v>
      </c>
      <c r="I39" s="422">
        <f t="shared" si="0"/>
        <v>8.1480705958987855E-3</v>
      </c>
      <c r="J39" s="423">
        <f t="shared" si="1"/>
        <v>0.76320084399092458</v>
      </c>
      <c r="L39" s="138"/>
      <c r="M39" s="138"/>
    </row>
    <row r="40" spans="2:13" s="109" customFormat="1" ht="14.25" x14ac:dyDescent="0.2">
      <c r="B40" s="441" t="s">
        <v>785</v>
      </c>
      <c r="C40" s="441" t="s">
        <v>214</v>
      </c>
      <c r="D40" s="441" t="s">
        <v>786</v>
      </c>
      <c r="E40" s="441" t="s">
        <v>787</v>
      </c>
      <c r="F40" s="441">
        <v>750</v>
      </c>
      <c r="G40" s="442">
        <v>25.61</v>
      </c>
      <c r="H40" s="442">
        <v>19208.7</v>
      </c>
      <c r="I40" s="422">
        <f t="shared" si="0"/>
        <v>8.0118925720937973E-3</v>
      </c>
      <c r="J40" s="423">
        <f t="shared" si="1"/>
        <v>0.77121273656301836</v>
      </c>
      <c r="L40" s="138"/>
      <c r="M40" s="138"/>
    </row>
    <row r="41" spans="2:13" s="109" customFormat="1" ht="14.25" x14ac:dyDescent="0.2">
      <c r="B41" s="441" t="s">
        <v>1043</v>
      </c>
      <c r="C41" s="441" t="s">
        <v>905</v>
      </c>
      <c r="D41" s="441" t="s">
        <v>1044</v>
      </c>
      <c r="E41" s="441" t="s">
        <v>847</v>
      </c>
      <c r="F41" s="441">
        <v>576</v>
      </c>
      <c r="G41" s="442">
        <v>31.85</v>
      </c>
      <c r="H41" s="442">
        <v>18349.02</v>
      </c>
      <c r="I41" s="422">
        <f t="shared" si="0"/>
        <v>7.6533225592153829E-3</v>
      </c>
      <c r="J41" s="423">
        <f t="shared" si="1"/>
        <v>0.77886605912223372</v>
      </c>
      <c r="L41" s="138"/>
      <c r="M41" s="138"/>
    </row>
    <row r="42" spans="2:13" s="109" customFormat="1" ht="14.25" x14ac:dyDescent="0.2">
      <c r="B42" s="441" t="s">
        <v>1049</v>
      </c>
      <c r="C42" s="441" t="s">
        <v>214</v>
      </c>
      <c r="D42" s="441" t="s">
        <v>1050</v>
      </c>
      <c r="E42" s="441" t="s">
        <v>22</v>
      </c>
      <c r="F42" s="441">
        <v>9</v>
      </c>
      <c r="G42" s="442">
        <v>1991.81</v>
      </c>
      <c r="H42" s="442">
        <v>17926.32</v>
      </c>
      <c r="I42" s="422">
        <f t="shared" si="0"/>
        <v>7.4770156258870445E-3</v>
      </c>
      <c r="J42" s="423">
        <f t="shared" si="1"/>
        <v>0.78634307474812082</v>
      </c>
      <c r="L42" s="138"/>
      <c r="M42" s="138"/>
    </row>
    <row r="43" spans="2:13" s="109" customFormat="1" ht="14.25" x14ac:dyDescent="0.2">
      <c r="B43" s="441" t="s">
        <v>949</v>
      </c>
      <c r="C43" s="441" t="s">
        <v>905</v>
      </c>
      <c r="D43" s="441" t="s">
        <v>950</v>
      </c>
      <c r="E43" s="441" t="s">
        <v>847</v>
      </c>
      <c r="F43" s="441">
        <v>92</v>
      </c>
      <c r="G43" s="442">
        <v>180.31</v>
      </c>
      <c r="H43" s="442">
        <v>16589.240000000002</v>
      </c>
      <c r="I43" s="422">
        <f t="shared" si="0"/>
        <v>6.9193234697132715E-3</v>
      </c>
      <c r="J43" s="423">
        <f t="shared" si="1"/>
        <v>0.79326239821783406</v>
      </c>
      <c r="L43" s="138"/>
      <c r="M43" s="138"/>
    </row>
    <row r="44" spans="2:13" s="109" customFormat="1" ht="14.25" x14ac:dyDescent="0.2">
      <c r="B44" s="441" t="s">
        <v>781</v>
      </c>
      <c r="C44" s="441" t="s">
        <v>31</v>
      </c>
      <c r="D44" s="441" t="s">
        <v>782</v>
      </c>
      <c r="E44" s="441" t="s">
        <v>22</v>
      </c>
      <c r="F44" s="441">
        <v>15</v>
      </c>
      <c r="G44" s="442">
        <v>1097.96</v>
      </c>
      <c r="H44" s="442">
        <v>16469.53</v>
      </c>
      <c r="I44" s="422">
        <f t="shared" si="0"/>
        <v>6.869392778942664E-3</v>
      </c>
      <c r="J44" s="423">
        <f t="shared" si="1"/>
        <v>0.80013179099677678</v>
      </c>
      <c r="L44" s="138"/>
      <c r="M44" s="138"/>
    </row>
    <row r="45" spans="2:13" s="109" customFormat="1" ht="14.25" x14ac:dyDescent="0.2">
      <c r="B45" s="441">
        <v>91864</v>
      </c>
      <c r="C45" s="441" t="s">
        <v>31</v>
      </c>
      <c r="D45" s="441" t="s">
        <v>1403</v>
      </c>
      <c r="E45" s="441" t="s">
        <v>35</v>
      </c>
      <c r="F45" s="441">
        <v>1000</v>
      </c>
      <c r="G45" s="442">
        <v>16.11</v>
      </c>
      <c r="H45" s="442">
        <v>16110.91</v>
      </c>
      <c r="I45" s="422">
        <f t="shared" si="0"/>
        <v>6.7198134261387639E-3</v>
      </c>
      <c r="J45" s="423">
        <f t="shared" si="1"/>
        <v>0.80685160442291559</v>
      </c>
      <c r="L45" s="138"/>
      <c r="M45" s="138"/>
    </row>
    <row r="46" spans="2:13" s="109" customFormat="1" ht="14.25" x14ac:dyDescent="0.2">
      <c r="B46" s="441" t="s">
        <v>1043</v>
      </c>
      <c r="C46" s="441" t="s">
        <v>905</v>
      </c>
      <c r="D46" s="441" t="s">
        <v>1044</v>
      </c>
      <c r="E46" s="441" t="s">
        <v>847</v>
      </c>
      <c r="F46" s="441">
        <v>480</v>
      </c>
      <c r="G46" s="442">
        <v>31.85</v>
      </c>
      <c r="H46" s="442">
        <v>15290.85</v>
      </c>
      <c r="I46" s="422">
        <f t="shared" si="0"/>
        <v>6.3777687993461524E-3</v>
      </c>
      <c r="J46" s="423">
        <f t="shared" si="1"/>
        <v>0.81322937322226174</v>
      </c>
      <c r="L46" s="138"/>
      <c r="M46" s="138"/>
    </row>
    <row r="47" spans="2:13" s="109" customFormat="1" ht="14.25" x14ac:dyDescent="0.2">
      <c r="B47" s="441" t="s">
        <v>1045</v>
      </c>
      <c r="C47" s="441" t="s">
        <v>267</v>
      </c>
      <c r="D47" s="441" t="s">
        <v>1046</v>
      </c>
      <c r="E47" s="441" t="s">
        <v>22</v>
      </c>
      <c r="F47" s="441">
        <v>288</v>
      </c>
      <c r="G47" s="442">
        <v>52.66</v>
      </c>
      <c r="H47" s="442">
        <v>15166.75</v>
      </c>
      <c r="I47" s="422">
        <f t="shared" ref="I47:I78" si="2">H47/$H$172</f>
        <v>6.3260070524191435E-3</v>
      </c>
      <c r="J47" s="423">
        <f t="shared" si="1"/>
        <v>0.81955538027468089</v>
      </c>
      <c r="L47" s="138"/>
      <c r="M47" s="138"/>
    </row>
    <row r="48" spans="2:13" s="109" customFormat="1" ht="14.25" x14ac:dyDescent="0.2">
      <c r="B48" s="441" t="s">
        <v>941</v>
      </c>
      <c r="C48" s="441" t="s">
        <v>267</v>
      </c>
      <c r="D48" s="441" t="s">
        <v>942</v>
      </c>
      <c r="E48" s="441" t="s">
        <v>22</v>
      </c>
      <c r="F48" s="441">
        <v>414</v>
      </c>
      <c r="G48" s="442">
        <v>36.46</v>
      </c>
      <c r="H48" s="442">
        <v>15096.94</v>
      </c>
      <c r="I48" s="422">
        <f t="shared" si="2"/>
        <v>6.296889505658672E-3</v>
      </c>
      <c r="J48" s="423">
        <f t="shared" si="1"/>
        <v>0.82585226978033954</v>
      </c>
      <c r="L48" s="138"/>
      <c r="M48" s="138"/>
    </row>
    <row r="49" spans="2:13" s="109" customFormat="1" ht="14.25" x14ac:dyDescent="0.2">
      <c r="B49" s="441">
        <v>101879</v>
      </c>
      <c r="C49" s="441" t="s">
        <v>31</v>
      </c>
      <c r="D49" s="441" t="s">
        <v>969</v>
      </c>
      <c r="E49" s="441" t="s">
        <v>22</v>
      </c>
      <c r="F49" s="441">
        <v>18</v>
      </c>
      <c r="G49" s="442">
        <v>804.55</v>
      </c>
      <c r="H49" s="442">
        <v>14482.04</v>
      </c>
      <c r="I49" s="422">
        <f t="shared" si="2"/>
        <v>6.0404165146399945E-3</v>
      </c>
      <c r="J49" s="423">
        <f t="shared" si="1"/>
        <v>0.83189268629497959</v>
      </c>
      <c r="L49" s="138"/>
      <c r="M49" s="138"/>
    </row>
    <row r="50" spans="2:13" s="109" customFormat="1" ht="14.25" x14ac:dyDescent="0.2">
      <c r="B50" s="441" t="s">
        <v>885</v>
      </c>
      <c r="C50" s="441" t="s">
        <v>875</v>
      </c>
      <c r="D50" s="441" t="s">
        <v>886</v>
      </c>
      <c r="E50" s="441" t="s">
        <v>877</v>
      </c>
      <c r="F50" s="441">
        <v>1803.9</v>
      </c>
      <c r="G50" s="442">
        <v>7.74</v>
      </c>
      <c r="H50" s="442">
        <v>13970.23</v>
      </c>
      <c r="I50" s="422">
        <f t="shared" si="2"/>
        <v>5.8269420610162024E-3</v>
      </c>
      <c r="J50" s="423">
        <f t="shared" si="1"/>
        <v>0.83771962835599578</v>
      </c>
      <c r="L50" s="138"/>
      <c r="M50" s="138"/>
    </row>
    <row r="51" spans="2:13" s="109" customFormat="1" ht="14.25" x14ac:dyDescent="0.2">
      <c r="B51" s="441">
        <v>9526</v>
      </c>
      <c r="C51" s="441" t="s">
        <v>177</v>
      </c>
      <c r="D51" s="441" t="s">
        <v>952</v>
      </c>
      <c r="E51" s="441" t="s">
        <v>227</v>
      </c>
      <c r="F51" s="441">
        <v>911</v>
      </c>
      <c r="G51" s="442">
        <v>14.53</v>
      </c>
      <c r="H51" s="442">
        <v>13243.78</v>
      </c>
      <c r="I51" s="422">
        <f t="shared" si="2"/>
        <v>5.5239418913536256E-3</v>
      </c>
      <c r="J51" s="423">
        <f t="shared" si="1"/>
        <v>0.84324357024734942</v>
      </c>
      <c r="L51" s="138"/>
      <c r="M51" s="138"/>
    </row>
    <row r="52" spans="2:13" s="109" customFormat="1" ht="14.25" x14ac:dyDescent="0.2">
      <c r="B52" s="441" t="s">
        <v>878</v>
      </c>
      <c r="C52" s="441" t="s">
        <v>875</v>
      </c>
      <c r="D52" s="441" t="s">
        <v>879</v>
      </c>
      <c r="E52" s="441" t="s">
        <v>877</v>
      </c>
      <c r="F52" s="441">
        <v>500</v>
      </c>
      <c r="G52" s="442">
        <v>26.33</v>
      </c>
      <c r="H52" s="442">
        <v>13165.58</v>
      </c>
      <c r="I52" s="422">
        <f t="shared" si="2"/>
        <v>5.4913249001393456E-3</v>
      </c>
      <c r="J52" s="423">
        <f t="shared" si="1"/>
        <v>0.84873489514748879</v>
      </c>
      <c r="L52" s="138"/>
      <c r="M52" s="138"/>
    </row>
    <row r="53" spans="2:13" s="109" customFormat="1" ht="14.25" x14ac:dyDescent="0.2">
      <c r="B53" s="441" t="s">
        <v>1393</v>
      </c>
      <c r="C53" s="441" t="s">
        <v>177</v>
      </c>
      <c r="D53" s="441" t="s">
        <v>1394</v>
      </c>
      <c r="E53" s="441" t="s">
        <v>2</v>
      </c>
      <c r="F53" s="441">
        <v>4960.3999999999996</v>
      </c>
      <c r="G53" s="442">
        <v>2.62</v>
      </c>
      <c r="H53" s="442">
        <v>13006.86</v>
      </c>
      <c r="I53" s="422">
        <f t="shared" si="2"/>
        <v>5.4251232524982918E-3</v>
      </c>
      <c r="J53" s="423">
        <f t="shared" si="1"/>
        <v>0.85416001839998712</v>
      </c>
      <c r="L53" s="138"/>
      <c r="M53" s="138"/>
    </row>
    <row r="54" spans="2:13" s="109" customFormat="1" ht="14.25" x14ac:dyDescent="0.2">
      <c r="B54" s="441" t="s">
        <v>1045</v>
      </c>
      <c r="C54" s="441" t="s">
        <v>267</v>
      </c>
      <c r="D54" s="441" t="s">
        <v>1046</v>
      </c>
      <c r="E54" s="441" t="s">
        <v>22</v>
      </c>
      <c r="F54" s="441">
        <v>240</v>
      </c>
      <c r="G54" s="442">
        <v>52.66</v>
      </c>
      <c r="H54" s="442">
        <v>12638.95</v>
      </c>
      <c r="I54" s="422">
        <f t="shared" si="2"/>
        <v>5.2716690678736664E-3</v>
      </c>
      <c r="J54" s="423">
        <f t="shared" si="1"/>
        <v>0.85943168746786081</v>
      </c>
      <c r="L54" s="138"/>
      <c r="M54" s="138"/>
    </row>
    <row r="55" spans="2:13" s="109" customFormat="1" ht="14.25" x14ac:dyDescent="0.2">
      <c r="B55" s="441">
        <v>9526</v>
      </c>
      <c r="C55" s="441" t="s">
        <v>177</v>
      </c>
      <c r="D55" s="441" t="s">
        <v>952</v>
      </c>
      <c r="E55" s="441" t="s">
        <v>227</v>
      </c>
      <c r="F55" s="441">
        <v>820</v>
      </c>
      <c r="G55" s="442">
        <v>14.53</v>
      </c>
      <c r="H55" s="442">
        <v>11920.85</v>
      </c>
      <c r="I55" s="422">
        <f t="shared" si="2"/>
        <v>4.9721516587819242E-3</v>
      </c>
      <c r="J55" s="423">
        <f t="shared" si="1"/>
        <v>0.86440383912664276</v>
      </c>
      <c r="L55" s="138"/>
      <c r="M55" s="138"/>
    </row>
    <row r="56" spans="2:13" s="109" customFormat="1" ht="14.25" x14ac:dyDescent="0.2">
      <c r="B56" s="441" t="s">
        <v>869</v>
      </c>
      <c r="C56" s="441" t="s">
        <v>31</v>
      </c>
      <c r="D56" s="441" t="s">
        <v>870</v>
      </c>
      <c r="E56" s="441" t="s">
        <v>22</v>
      </c>
      <c r="F56" s="441">
        <v>924</v>
      </c>
      <c r="G56" s="442">
        <v>12.87</v>
      </c>
      <c r="H56" s="442">
        <v>11900.17</v>
      </c>
      <c r="I56" s="422">
        <f t="shared" si="2"/>
        <v>4.9635260912843371E-3</v>
      </c>
      <c r="J56" s="423">
        <f t="shared" si="1"/>
        <v>0.86936736521792712</v>
      </c>
      <c r="L56" s="138"/>
      <c r="M56" s="138"/>
    </row>
    <row r="57" spans="2:13" s="109" customFormat="1" ht="14.25" x14ac:dyDescent="0.2">
      <c r="B57" s="441" t="s">
        <v>128</v>
      </c>
      <c r="C57" s="441" t="s">
        <v>31</v>
      </c>
      <c r="D57" s="441" t="s">
        <v>109</v>
      </c>
      <c r="E57" s="441" t="s">
        <v>8</v>
      </c>
      <c r="F57" s="441">
        <v>1800</v>
      </c>
      <c r="G57" s="442">
        <v>6.61</v>
      </c>
      <c r="H57" s="442">
        <v>11898.41</v>
      </c>
      <c r="I57" s="422">
        <f t="shared" si="2"/>
        <v>4.9627920004334785E-3</v>
      </c>
      <c r="J57" s="423">
        <f t="shared" si="1"/>
        <v>0.8743301572183606</v>
      </c>
      <c r="L57" s="138"/>
      <c r="M57" s="138"/>
    </row>
    <row r="58" spans="2:13" s="109" customFormat="1" ht="14.25" x14ac:dyDescent="0.2">
      <c r="B58" s="441" t="s">
        <v>1015</v>
      </c>
      <c r="C58" s="441" t="s">
        <v>177</v>
      </c>
      <c r="D58" s="441" t="s">
        <v>1016</v>
      </c>
      <c r="E58" s="441" t="s">
        <v>227</v>
      </c>
      <c r="F58" s="441">
        <v>2487</v>
      </c>
      <c r="G58" s="442">
        <v>4.54</v>
      </c>
      <c r="H58" s="442">
        <v>11313.63</v>
      </c>
      <c r="I58" s="422">
        <f t="shared" si="2"/>
        <v>4.7188819732942649E-3</v>
      </c>
      <c r="J58" s="423">
        <f t="shared" si="1"/>
        <v>0.87904903919165489</v>
      </c>
      <c r="L58" s="138"/>
      <c r="M58" s="138"/>
    </row>
    <row r="59" spans="2:13" s="109" customFormat="1" ht="14.25" x14ac:dyDescent="0.2">
      <c r="B59" s="441" t="s">
        <v>1282</v>
      </c>
      <c r="C59" s="441" t="s">
        <v>125</v>
      </c>
      <c r="D59" s="441" t="s">
        <v>1283</v>
      </c>
      <c r="E59" s="441" t="s">
        <v>22</v>
      </c>
      <c r="F59" s="441">
        <v>9</v>
      </c>
      <c r="G59" s="442">
        <v>1236.79</v>
      </c>
      <c r="H59" s="442">
        <v>11131.16</v>
      </c>
      <c r="I59" s="422">
        <f t="shared" si="2"/>
        <v>4.6427742701373644E-3</v>
      </c>
      <c r="J59" s="423">
        <f t="shared" si="1"/>
        <v>0.88369181346179226</v>
      </c>
      <c r="L59" s="138"/>
      <c r="M59" s="138"/>
    </row>
    <row r="60" spans="2:13" s="109" customFormat="1" ht="14.25" x14ac:dyDescent="0.2">
      <c r="B60" s="441" t="s">
        <v>409</v>
      </c>
      <c r="C60" s="441" t="s">
        <v>214</v>
      </c>
      <c r="D60" s="441" t="s">
        <v>410</v>
      </c>
      <c r="E60" s="441" t="s">
        <v>22</v>
      </c>
      <c r="F60" s="441">
        <v>25</v>
      </c>
      <c r="G60" s="442">
        <v>426.86</v>
      </c>
      <c r="H60" s="442">
        <v>10671.5</v>
      </c>
      <c r="I60" s="422">
        <f t="shared" si="2"/>
        <v>4.4510514289409983E-3</v>
      </c>
      <c r="J60" s="423">
        <f t="shared" si="1"/>
        <v>0.88814286489073324</v>
      </c>
      <c r="L60" s="138"/>
      <c r="M60" s="138"/>
    </row>
    <row r="61" spans="2:13" s="109" customFormat="1" ht="14.25" x14ac:dyDescent="0.2">
      <c r="B61" s="441" t="s">
        <v>774</v>
      </c>
      <c r="C61" s="441" t="s">
        <v>214</v>
      </c>
      <c r="D61" s="441" t="s">
        <v>775</v>
      </c>
      <c r="E61" s="441" t="s">
        <v>22</v>
      </c>
      <c r="F61" s="441">
        <v>5</v>
      </c>
      <c r="G61" s="442">
        <v>2001.57</v>
      </c>
      <c r="H61" s="442">
        <v>10007.85</v>
      </c>
      <c r="I61" s="422">
        <f t="shared" si="2"/>
        <v>4.1742449555476902E-3</v>
      </c>
      <c r="J61" s="423">
        <f t="shared" si="1"/>
        <v>0.89231710984628099</v>
      </c>
      <c r="L61" s="138"/>
      <c r="M61" s="138"/>
    </row>
    <row r="62" spans="2:13" s="109" customFormat="1" ht="14.25" x14ac:dyDescent="0.2">
      <c r="B62" s="441" t="s">
        <v>1516</v>
      </c>
      <c r="C62" s="441" t="s">
        <v>31</v>
      </c>
      <c r="D62" s="441" t="s">
        <v>1517</v>
      </c>
      <c r="E62" s="441" t="s">
        <v>2</v>
      </c>
      <c r="F62" s="441">
        <v>425.55</v>
      </c>
      <c r="G62" s="442">
        <v>22.46</v>
      </c>
      <c r="H62" s="442">
        <v>9559.99</v>
      </c>
      <c r="I62" s="422">
        <f t="shared" si="2"/>
        <v>3.9874438598286703E-3</v>
      </c>
      <c r="J62" s="423">
        <f t="shared" si="1"/>
        <v>0.89630455370610962</v>
      </c>
      <c r="L62" s="138"/>
      <c r="M62" s="138"/>
    </row>
    <row r="63" spans="2:13" s="109" customFormat="1" ht="14.25" x14ac:dyDescent="0.2">
      <c r="B63" s="441" t="s">
        <v>907</v>
      </c>
      <c r="C63" s="441" t="s">
        <v>905</v>
      </c>
      <c r="D63" s="441" t="s">
        <v>1389</v>
      </c>
      <c r="E63" s="441" t="s">
        <v>227</v>
      </c>
      <c r="F63" s="441">
        <v>370</v>
      </c>
      <c r="G63" s="442">
        <v>25.37</v>
      </c>
      <c r="H63" s="442">
        <v>9390.5499999999993</v>
      </c>
      <c r="I63" s="422">
        <f t="shared" si="2"/>
        <v>3.9167709315505684E-3</v>
      </c>
      <c r="J63" s="423">
        <f t="shared" si="1"/>
        <v>0.90022132463766014</v>
      </c>
      <c r="L63" s="138"/>
      <c r="M63" s="138"/>
    </row>
    <row r="64" spans="2:13" s="109" customFormat="1" ht="14.25" x14ac:dyDescent="0.2">
      <c r="B64" s="441" t="s">
        <v>874</v>
      </c>
      <c r="C64" s="441" t="s">
        <v>875</v>
      </c>
      <c r="D64" s="441" t="s">
        <v>876</v>
      </c>
      <c r="E64" s="441" t="s">
        <v>877</v>
      </c>
      <c r="F64" s="441">
        <v>504.8</v>
      </c>
      <c r="G64" s="442">
        <v>17.68</v>
      </c>
      <c r="H64" s="442">
        <v>8926.98</v>
      </c>
      <c r="I64" s="422">
        <f t="shared" si="2"/>
        <v>3.7234172407934886E-3</v>
      </c>
      <c r="J64" s="423">
        <f t="shared" si="1"/>
        <v>0.90394474187845364</v>
      </c>
      <c r="L64" s="138"/>
      <c r="M64" s="138"/>
    </row>
    <row r="65" spans="2:13" s="109" customFormat="1" ht="14.25" x14ac:dyDescent="0.2">
      <c r="B65" s="441" t="s">
        <v>1290</v>
      </c>
      <c r="C65" s="441" t="s">
        <v>125</v>
      </c>
      <c r="D65" s="441" t="s">
        <v>1356</v>
      </c>
      <c r="E65" s="441" t="s">
        <v>22</v>
      </c>
      <c r="F65" s="441">
        <v>3</v>
      </c>
      <c r="G65" s="442">
        <v>2957.87</v>
      </c>
      <c r="H65" s="442">
        <v>8873.61</v>
      </c>
      <c r="I65" s="422">
        <f t="shared" si="2"/>
        <v>3.7011567699353543E-3</v>
      </c>
      <c r="J65" s="423">
        <f t="shared" si="1"/>
        <v>0.90764589864838896</v>
      </c>
      <c r="L65" s="138"/>
      <c r="M65" s="138"/>
    </row>
    <row r="66" spans="2:13" s="109" customFormat="1" ht="14.25" x14ac:dyDescent="0.2">
      <c r="B66" s="441" t="s">
        <v>1513</v>
      </c>
      <c r="C66" s="441" t="s">
        <v>214</v>
      </c>
      <c r="D66" s="441" t="s">
        <v>1514</v>
      </c>
      <c r="E66" s="441" t="s">
        <v>2</v>
      </c>
      <c r="F66" s="441">
        <v>425.55</v>
      </c>
      <c r="G66" s="442">
        <v>20.52</v>
      </c>
      <c r="H66" s="442">
        <v>8734.7800000000007</v>
      </c>
      <c r="I66" s="422">
        <f t="shared" si="2"/>
        <v>3.6432511831031491E-3</v>
      </c>
      <c r="J66" s="423">
        <f t="shared" si="1"/>
        <v>0.91128914983149212</v>
      </c>
      <c r="L66" s="138"/>
      <c r="M66" s="138"/>
    </row>
    <row r="67" spans="2:13" s="109" customFormat="1" ht="14.25" x14ac:dyDescent="0.2">
      <c r="B67" s="441" t="s">
        <v>904</v>
      </c>
      <c r="C67" s="441" t="s">
        <v>905</v>
      </c>
      <c r="D67" s="441" t="s">
        <v>1388</v>
      </c>
      <c r="E67" s="441" t="s">
        <v>847</v>
      </c>
      <c r="F67" s="441">
        <v>478</v>
      </c>
      <c r="G67" s="442">
        <v>17.75</v>
      </c>
      <c r="H67" s="442">
        <v>8488.02</v>
      </c>
      <c r="I67" s="422">
        <f t="shared" si="2"/>
        <v>3.5403283090361969E-3</v>
      </c>
      <c r="J67" s="423">
        <f t="shared" si="1"/>
        <v>0.91482947814052828</v>
      </c>
      <c r="L67" s="138"/>
      <c r="M67" s="138"/>
    </row>
    <row r="68" spans="2:13" s="109" customFormat="1" ht="14.25" x14ac:dyDescent="0.2">
      <c r="B68" s="441">
        <v>59252</v>
      </c>
      <c r="C68" s="441" t="s">
        <v>214</v>
      </c>
      <c r="D68" s="441" t="s">
        <v>1358</v>
      </c>
      <c r="E68" s="441" t="s">
        <v>22</v>
      </c>
      <c r="F68" s="441">
        <v>6</v>
      </c>
      <c r="G68" s="442">
        <v>1383.69</v>
      </c>
      <c r="H68" s="442">
        <v>8302.18</v>
      </c>
      <c r="I68" s="422">
        <f t="shared" si="2"/>
        <v>3.4628149887387322E-3</v>
      </c>
      <c r="J68" s="423">
        <f t="shared" si="1"/>
        <v>0.91829229312926697</v>
      </c>
      <c r="L68" s="138"/>
      <c r="M68" s="138"/>
    </row>
    <row r="69" spans="2:13" s="109" customFormat="1" ht="14.25" x14ac:dyDescent="0.2">
      <c r="B69" s="441">
        <v>96113</v>
      </c>
      <c r="C69" s="441" t="s">
        <v>31</v>
      </c>
      <c r="D69" s="441" t="s">
        <v>1433</v>
      </c>
      <c r="E69" s="441" t="s">
        <v>2</v>
      </c>
      <c r="F69" s="441">
        <v>180</v>
      </c>
      <c r="G69" s="442">
        <v>42.33</v>
      </c>
      <c r="H69" s="442">
        <v>7619.81</v>
      </c>
      <c r="I69" s="422">
        <f t="shared" si="2"/>
        <v>3.1782004581135653E-3</v>
      </c>
      <c r="J69" s="423">
        <f t="shared" si="1"/>
        <v>0.92147049358738053</v>
      </c>
      <c r="L69" s="138"/>
      <c r="M69" s="138"/>
    </row>
    <row r="70" spans="2:13" s="109" customFormat="1" ht="14.25" x14ac:dyDescent="0.2">
      <c r="B70" s="441" t="s">
        <v>900</v>
      </c>
      <c r="C70" s="441" t="s">
        <v>31</v>
      </c>
      <c r="D70" s="441" t="s">
        <v>901</v>
      </c>
      <c r="E70" s="441" t="s">
        <v>22</v>
      </c>
      <c r="F70" s="441">
        <v>149</v>
      </c>
      <c r="G70" s="442">
        <v>50.61</v>
      </c>
      <c r="H70" s="442">
        <v>7541.39</v>
      </c>
      <c r="I70" s="422">
        <f t="shared" si="2"/>
        <v>3.1454917055429282E-3</v>
      </c>
      <c r="J70" s="423">
        <f t="shared" si="1"/>
        <v>0.92461598529292344</v>
      </c>
      <c r="L70" s="138"/>
      <c r="M70" s="138"/>
    </row>
    <row r="71" spans="2:13" s="109" customFormat="1" ht="14.25" x14ac:dyDescent="0.2">
      <c r="B71" s="441" t="s">
        <v>772</v>
      </c>
      <c r="C71" s="441" t="s">
        <v>214</v>
      </c>
      <c r="D71" s="441" t="s">
        <v>773</v>
      </c>
      <c r="E71" s="441" t="s">
        <v>22</v>
      </c>
      <c r="F71" s="441">
        <v>2</v>
      </c>
      <c r="G71" s="442">
        <v>3701.57</v>
      </c>
      <c r="H71" s="442">
        <v>7403.14</v>
      </c>
      <c r="I71" s="422">
        <f t="shared" si="2"/>
        <v>3.0878280350138468E-3</v>
      </c>
      <c r="J71" s="423">
        <f t="shared" si="1"/>
        <v>0.92770381332793728</v>
      </c>
      <c r="L71" s="138"/>
      <c r="M71" s="138"/>
    </row>
    <row r="72" spans="2:13" s="109" customFormat="1" ht="14.25" x14ac:dyDescent="0.2">
      <c r="B72" s="441">
        <v>59251</v>
      </c>
      <c r="C72" s="441" t="s">
        <v>214</v>
      </c>
      <c r="D72" s="441" t="s">
        <v>778</v>
      </c>
      <c r="E72" s="441" t="s">
        <v>22</v>
      </c>
      <c r="F72" s="441">
        <v>9</v>
      </c>
      <c r="G72" s="442">
        <v>815.8</v>
      </c>
      <c r="H72" s="442">
        <v>7342.22</v>
      </c>
      <c r="I72" s="422">
        <f t="shared" si="2"/>
        <v>3.0624184812443589E-3</v>
      </c>
      <c r="J72" s="423">
        <f t="shared" si="1"/>
        <v>0.93076623180918161</v>
      </c>
      <c r="L72" s="138"/>
      <c r="M72" s="138"/>
    </row>
    <row r="73" spans="2:13" s="109" customFormat="1" ht="14.25" x14ac:dyDescent="0.2">
      <c r="B73" s="441" t="s">
        <v>882</v>
      </c>
      <c r="C73" s="441" t="s">
        <v>875</v>
      </c>
      <c r="D73" s="441" t="s">
        <v>1362</v>
      </c>
      <c r="E73" s="441" t="s">
        <v>877</v>
      </c>
      <c r="F73" s="441">
        <v>562.5</v>
      </c>
      <c r="G73" s="442">
        <v>12.61</v>
      </c>
      <c r="H73" s="442">
        <v>7093.49</v>
      </c>
      <c r="I73" s="422">
        <f t="shared" si="2"/>
        <v>2.9586739259409344E-3</v>
      </c>
      <c r="J73" s="423">
        <f t="shared" si="1"/>
        <v>0.93372490573512257</v>
      </c>
      <c r="L73" s="138"/>
      <c r="M73" s="138"/>
    </row>
    <row r="74" spans="2:13" s="109" customFormat="1" ht="14.25" x14ac:dyDescent="0.2">
      <c r="B74" s="441" t="s">
        <v>262</v>
      </c>
      <c r="C74" s="441" t="s">
        <v>125</v>
      </c>
      <c r="D74" s="441" t="s">
        <v>742</v>
      </c>
      <c r="E74" s="441" t="s">
        <v>120</v>
      </c>
      <c r="F74" s="441">
        <v>5</v>
      </c>
      <c r="G74" s="442">
        <v>1341.56</v>
      </c>
      <c r="H74" s="442">
        <v>6707.8</v>
      </c>
      <c r="I74" s="422">
        <f t="shared" si="2"/>
        <v>2.7978037553343421E-3</v>
      </c>
      <c r="J74" s="423">
        <f t="shared" si="1"/>
        <v>0.93652270949045691</v>
      </c>
      <c r="L74" s="138"/>
      <c r="M74" s="138"/>
    </row>
    <row r="75" spans="2:13" s="109" customFormat="1" ht="14.25" x14ac:dyDescent="0.2">
      <c r="B75" s="441" t="s">
        <v>1292</v>
      </c>
      <c r="C75" s="441" t="s">
        <v>125</v>
      </c>
      <c r="D75" s="441" t="s">
        <v>1293</v>
      </c>
      <c r="E75" s="441" t="s">
        <v>22</v>
      </c>
      <c r="F75" s="441">
        <v>2</v>
      </c>
      <c r="G75" s="442">
        <v>3107.27</v>
      </c>
      <c r="H75" s="442">
        <v>6214.54</v>
      </c>
      <c r="I75" s="422">
        <f t="shared" si="2"/>
        <v>2.5920664524397689E-3</v>
      </c>
      <c r="J75" s="423">
        <f t="shared" si="1"/>
        <v>0.93911477594289672</v>
      </c>
      <c r="L75" s="138"/>
      <c r="M75" s="138"/>
    </row>
    <row r="76" spans="2:13" s="109" customFormat="1" ht="14.25" x14ac:dyDescent="0.2">
      <c r="B76" s="441" t="s">
        <v>1282</v>
      </c>
      <c r="C76" s="441" t="s">
        <v>125</v>
      </c>
      <c r="D76" s="441" t="s">
        <v>1283</v>
      </c>
      <c r="E76" s="441" t="s">
        <v>22</v>
      </c>
      <c r="F76" s="441">
        <v>5</v>
      </c>
      <c r="G76" s="442">
        <v>1236.79</v>
      </c>
      <c r="H76" s="442">
        <v>6183.98</v>
      </c>
      <c r="I76" s="422">
        <f t="shared" si="2"/>
        <v>2.5793199658475899E-3</v>
      </c>
      <c r="J76" s="423">
        <f t="shared" si="1"/>
        <v>0.94169409590874431</v>
      </c>
      <c r="L76" s="138"/>
      <c r="M76" s="138"/>
    </row>
    <row r="77" spans="2:13" s="109" customFormat="1" ht="14.25" x14ac:dyDescent="0.2">
      <c r="B77" s="441" t="s">
        <v>945</v>
      </c>
      <c r="C77" s="441" t="s">
        <v>31</v>
      </c>
      <c r="D77" s="441" t="s">
        <v>946</v>
      </c>
      <c r="E77" s="441" t="s">
        <v>22</v>
      </c>
      <c r="F77" s="441">
        <v>1</v>
      </c>
      <c r="G77" s="442">
        <v>5924.86</v>
      </c>
      <c r="H77" s="442">
        <v>5924.86</v>
      </c>
      <c r="I77" s="422">
        <f t="shared" si="2"/>
        <v>2.4712417719416542E-3</v>
      </c>
      <c r="J77" s="423">
        <f t="shared" si="1"/>
        <v>0.944165337680686</v>
      </c>
      <c r="L77" s="138"/>
      <c r="M77" s="138"/>
    </row>
    <row r="78" spans="2:13" s="109" customFormat="1" ht="14.25" x14ac:dyDescent="0.2">
      <c r="B78" s="441" t="s">
        <v>779</v>
      </c>
      <c r="C78" s="441" t="s">
        <v>214</v>
      </c>
      <c r="D78" s="441" t="s">
        <v>780</v>
      </c>
      <c r="E78" s="441" t="s">
        <v>22</v>
      </c>
      <c r="F78" s="441">
        <v>72</v>
      </c>
      <c r="G78" s="442">
        <v>82.27</v>
      </c>
      <c r="H78" s="442">
        <v>5923.74</v>
      </c>
      <c r="I78" s="422">
        <f t="shared" si="2"/>
        <v>2.4707746232183808E-3</v>
      </c>
      <c r="J78" s="423">
        <f t="shared" si="1"/>
        <v>0.94663611230390443</v>
      </c>
      <c r="L78" s="138"/>
      <c r="M78" s="138"/>
    </row>
    <row r="79" spans="2:13" s="109" customFormat="1" ht="14.25" x14ac:dyDescent="0.2">
      <c r="B79" s="441">
        <v>91963</v>
      </c>
      <c r="C79" s="441" t="s">
        <v>31</v>
      </c>
      <c r="D79" s="441" t="s">
        <v>1285</v>
      </c>
      <c r="E79" s="441" t="s">
        <v>22</v>
      </c>
      <c r="F79" s="441">
        <v>78</v>
      </c>
      <c r="G79" s="442">
        <v>75.48</v>
      </c>
      <c r="H79" s="442">
        <v>5887.52</v>
      </c>
      <c r="I79" s="422">
        <f t="shared" ref="I79:I110" si="3">H79/$H$172</f>
        <v>2.4556673671853732E-3</v>
      </c>
      <c r="J79" s="423">
        <f t="shared" si="1"/>
        <v>0.94909177967108982</v>
      </c>
      <c r="L79" s="138"/>
      <c r="M79" s="138"/>
    </row>
    <row r="80" spans="2:13" s="109" customFormat="1" ht="14.25" x14ac:dyDescent="0.2">
      <c r="B80" s="441" t="s">
        <v>776</v>
      </c>
      <c r="C80" s="441" t="s">
        <v>125</v>
      </c>
      <c r="D80" s="441" t="s">
        <v>562</v>
      </c>
      <c r="E80" s="441" t="s">
        <v>245</v>
      </c>
      <c r="F80" s="441">
        <v>9</v>
      </c>
      <c r="G80" s="442">
        <v>636.86</v>
      </c>
      <c r="H80" s="442">
        <v>5731.76</v>
      </c>
      <c r="I80" s="422">
        <f t="shared" si="3"/>
        <v>2.3907003268843984E-3</v>
      </c>
      <c r="J80" s="423">
        <f t="shared" si="1"/>
        <v>0.9514824799979742</v>
      </c>
      <c r="L80" s="138"/>
      <c r="M80" s="138"/>
    </row>
    <row r="81" spans="2:13" s="109" customFormat="1" ht="14.25" x14ac:dyDescent="0.2">
      <c r="B81" s="441" t="s">
        <v>880</v>
      </c>
      <c r="C81" s="441" t="s">
        <v>875</v>
      </c>
      <c r="D81" s="441" t="s">
        <v>881</v>
      </c>
      <c r="E81" s="441" t="s">
        <v>877</v>
      </c>
      <c r="F81" s="441">
        <v>146</v>
      </c>
      <c r="G81" s="442">
        <v>38.39</v>
      </c>
      <c r="H81" s="442">
        <v>5605.37</v>
      </c>
      <c r="I81" s="422">
        <f t="shared" si="3"/>
        <v>2.3379834276571246E-3</v>
      </c>
      <c r="J81" s="423">
        <f t="shared" si="1"/>
        <v>0.95382046342563132</v>
      </c>
      <c r="L81" s="138"/>
      <c r="M81" s="138"/>
    </row>
    <row r="82" spans="2:13" s="109" customFormat="1" ht="14.25" x14ac:dyDescent="0.2">
      <c r="B82" s="441">
        <v>60140</v>
      </c>
      <c r="C82" s="441" t="s">
        <v>214</v>
      </c>
      <c r="D82" s="441" t="s">
        <v>1392</v>
      </c>
      <c r="E82" s="441" t="s">
        <v>22</v>
      </c>
      <c r="F82" s="441">
        <v>111</v>
      </c>
      <c r="G82" s="442">
        <v>48.46</v>
      </c>
      <c r="H82" s="442">
        <v>5379.82</v>
      </c>
      <c r="I82" s="422">
        <f t="shared" si="3"/>
        <v>2.2439071825371654E-3</v>
      </c>
      <c r="J82" s="423">
        <f t="shared" si="1"/>
        <v>0.95606437060816851</v>
      </c>
      <c r="L82" s="138"/>
      <c r="M82" s="138"/>
    </row>
    <row r="83" spans="2:13" s="109" customFormat="1" ht="14.25" x14ac:dyDescent="0.2">
      <c r="B83" s="441" t="s">
        <v>261</v>
      </c>
      <c r="C83" s="441" t="s">
        <v>125</v>
      </c>
      <c r="D83" s="441" t="s">
        <v>741</v>
      </c>
      <c r="E83" s="441" t="s">
        <v>120</v>
      </c>
      <c r="F83" s="441">
        <v>5</v>
      </c>
      <c r="G83" s="442">
        <v>1048.08</v>
      </c>
      <c r="H83" s="442">
        <v>5240.43</v>
      </c>
      <c r="I83" s="422">
        <f t="shared" si="3"/>
        <v>2.1857680213433236E-3</v>
      </c>
      <c r="J83" s="423">
        <f t="shared" si="1"/>
        <v>0.95825013862951181</v>
      </c>
      <c r="L83" s="138"/>
      <c r="M83" s="138"/>
    </row>
    <row r="84" spans="2:13" s="109" customFormat="1" ht="14.25" x14ac:dyDescent="0.2">
      <c r="B84" s="441" t="s">
        <v>947</v>
      </c>
      <c r="C84" s="441" t="s">
        <v>125</v>
      </c>
      <c r="D84" s="441" t="s">
        <v>948</v>
      </c>
      <c r="E84" s="441" t="s">
        <v>22</v>
      </c>
      <c r="F84" s="441">
        <v>27</v>
      </c>
      <c r="G84" s="442">
        <v>187.25</v>
      </c>
      <c r="H84" s="442">
        <v>5055.9399999999996</v>
      </c>
      <c r="I84" s="422">
        <f t="shared" si="3"/>
        <v>2.1088177820962331E-3</v>
      </c>
      <c r="J84" s="423">
        <f t="shared" si="1"/>
        <v>0.96035895641160807</v>
      </c>
      <c r="L84" s="138"/>
      <c r="M84" s="138"/>
    </row>
    <row r="85" spans="2:13" s="109" customFormat="1" ht="14.25" x14ac:dyDescent="0.2">
      <c r="B85" s="441">
        <v>93012</v>
      </c>
      <c r="C85" s="441" t="s">
        <v>31</v>
      </c>
      <c r="D85" s="441" t="s">
        <v>1411</v>
      </c>
      <c r="E85" s="441" t="s">
        <v>35</v>
      </c>
      <c r="F85" s="441">
        <v>63.6</v>
      </c>
      <c r="G85" s="442">
        <v>68.23</v>
      </c>
      <c r="H85" s="442">
        <v>4339.84</v>
      </c>
      <c r="I85" s="422">
        <f t="shared" si="3"/>
        <v>1.8101345671531935E-3</v>
      </c>
      <c r="J85" s="423">
        <f t="shared" si="1"/>
        <v>0.96216909097876124</v>
      </c>
      <c r="L85" s="138"/>
      <c r="M85" s="138"/>
    </row>
    <row r="86" spans="2:13" s="109" customFormat="1" ht="14.25" x14ac:dyDescent="0.2">
      <c r="B86" s="441" t="s">
        <v>777</v>
      </c>
      <c r="C86" s="441" t="s">
        <v>214</v>
      </c>
      <c r="D86" s="441" t="s">
        <v>778</v>
      </c>
      <c r="E86" s="441" t="s">
        <v>22</v>
      </c>
      <c r="F86" s="441">
        <v>5</v>
      </c>
      <c r="G86" s="442">
        <v>815.8</v>
      </c>
      <c r="H86" s="442">
        <v>4079.01</v>
      </c>
      <c r="I86" s="422">
        <f t="shared" si="3"/>
        <v>1.701343137250117E-3</v>
      </c>
      <c r="J86" s="423">
        <f t="shared" si="1"/>
        <v>0.96387043411601137</v>
      </c>
      <c r="L86" s="138"/>
      <c r="M86" s="138"/>
    </row>
    <row r="87" spans="2:13" s="109" customFormat="1" ht="14.25" x14ac:dyDescent="0.2">
      <c r="B87" s="441" t="s">
        <v>975</v>
      </c>
      <c r="C87" s="441" t="s">
        <v>214</v>
      </c>
      <c r="D87" s="441" t="s">
        <v>976</v>
      </c>
      <c r="E87" s="441" t="s">
        <v>35</v>
      </c>
      <c r="F87" s="441">
        <v>500</v>
      </c>
      <c r="G87" s="442">
        <v>7.98</v>
      </c>
      <c r="H87" s="442">
        <v>3994.19</v>
      </c>
      <c r="I87" s="422">
        <f t="shared" si="3"/>
        <v>1.6659649634036308E-3</v>
      </c>
      <c r="J87" s="423">
        <f t="shared" si="1"/>
        <v>0.96553639907941502</v>
      </c>
      <c r="L87" s="138"/>
      <c r="M87" s="138"/>
    </row>
    <row r="88" spans="2:13" s="109" customFormat="1" ht="14.25" x14ac:dyDescent="0.2">
      <c r="B88" s="441" t="s">
        <v>864</v>
      </c>
      <c r="C88" s="441" t="s">
        <v>865</v>
      </c>
      <c r="D88" s="441" t="s">
        <v>866</v>
      </c>
      <c r="E88" s="441" t="s">
        <v>22</v>
      </c>
      <c r="F88" s="441">
        <v>293</v>
      </c>
      <c r="G88" s="442">
        <v>12.4</v>
      </c>
      <c r="H88" s="442">
        <v>3634.17</v>
      </c>
      <c r="I88" s="422">
        <f t="shared" si="3"/>
        <v>1.5158016746956388E-3</v>
      </c>
      <c r="J88" s="423">
        <f t="shared" si="1"/>
        <v>0.96705220075411069</v>
      </c>
      <c r="L88" s="138"/>
      <c r="M88" s="138"/>
    </row>
    <row r="89" spans="2:13" s="109" customFormat="1" ht="14.25" x14ac:dyDescent="0.2">
      <c r="B89" s="441" t="s">
        <v>1506</v>
      </c>
      <c r="C89" s="441" t="s">
        <v>177</v>
      </c>
      <c r="D89" s="441" t="s">
        <v>1507</v>
      </c>
      <c r="E89" s="441" t="s">
        <v>2</v>
      </c>
      <c r="F89" s="441">
        <v>170.22</v>
      </c>
      <c r="G89" s="442">
        <v>21.07</v>
      </c>
      <c r="H89" s="442">
        <v>3587.33</v>
      </c>
      <c r="I89" s="422">
        <f t="shared" si="3"/>
        <v>1.496264847733019E-3</v>
      </c>
      <c r="J89" s="423">
        <f t="shared" si="1"/>
        <v>0.96854846560184371</v>
      </c>
      <c r="L89" s="138"/>
      <c r="M89" s="138"/>
    </row>
    <row r="90" spans="2:13" s="109" customFormat="1" ht="14.25" x14ac:dyDescent="0.2">
      <c r="B90" s="441" t="s">
        <v>1342</v>
      </c>
      <c r="C90" s="441" t="s">
        <v>267</v>
      </c>
      <c r="D90" s="441" t="s">
        <v>1348</v>
      </c>
      <c r="E90" s="441" t="s">
        <v>22</v>
      </c>
      <c r="F90" s="441">
        <v>813</v>
      </c>
      <c r="G90" s="442">
        <v>4.07</v>
      </c>
      <c r="H90" s="442">
        <v>3311.72</v>
      </c>
      <c r="I90" s="422">
        <f t="shared" si="3"/>
        <v>1.3813087230710288E-3</v>
      </c>
      <c r="J90" s="423">
        <f t="shared" si="1"/>
        <v>0.96992977432491478</v>
      </c>
      <c r="L90" s="138"/>
      <c r="M90" s="138"/>
    </row>
    <row r="91" spans="2:13" s="109" customFormat="1" ht="14.25" x14ac:dyDescent="0.2">
      <c r="B91" s="441" t="s">
        <v>776</v>
      </c>
      <c r="C91" s="441" t="s">
        <v>125</v>
      </c>
      <c r="D91" s="441" t="s">
        <v>562</v>
      </c>
      <c r="E91" s="441" t="s">
        <v>245</v>
      </c>
      <c r="F91" s="441">
        <v>5</v>
      </c>
      <c r="G91" s="442">
        <v>636.86</v>
      </c>
      <c r="H91" s="442">
        <v>3184.31</v>
      </c>
      <c r="I91" s="422">
        <f t="shared" si="3"/>
        <v>1.3281663848279165E-3</v>
      </c>
      <c r="J91" s="423">
        <f t="shared" si="1"/>
        <v>0.9712579407097427</v>
      </c>
      <c r="L91" s="138"/>
      <c r="M91" s="138"/>
    </row>
    <row r="92" spans="2:13" s="109" customFormat="1" ht="14.25" x14ac:dyDescent="0.2">
      <c r="B92" s="441">
        <v>88497</v>
      </c>
      <c r="C92" s="441" t="s">
        <v>31</v>
      </c>
      <c r="D92" s="441" t="s">
        <v>1435</v>
      </c>
      <c r="E92" s="441" t="s">
        <v>2</v>
      </c>
      <c r="F92" s="441">
        <v>180</v>
      </c>
      <c r="G92" s="442">
        <v>16.3</v>
      </c>
      <c r="H92" s="442">
        <v>2935.08</v>
      </c>
      <c r="I92" s="422">
        <f t="shared" si="3"/>
        <v>1.2242132809873161E-3</v>
      </c>
      <c r="J92" s="423">
        <f t="shared" si="1"/>
        <v>0.97248215399073001</v>
      </c>
      <c r="L92" s="138"/>
      <c r="M92" s="138"/>
    </row>
    <row r="93" spans="2:13" s="109" customFormat="1" ht="14.25" x14ac:dyDescent="0.2">
      <c r="B93" s="441">
        <v>90447</v>
      </c>
      <c r="C93" s="441" t="s">
        <v>31</v>
      </c>
      <c r="D93" s="441" t="s">
        <v>1399</v>
      </c>
      <c r="E93" s="441" t="s">
        <v>35</v>
      </c>
      <c r="F93" s="441">
        <v>429.3</v>
      </c>
      <c r="G93" s="442">
        <v>6.69</v>
      </c>
      <c r="H93" s="442">
        <v>2874.42</v>
      </c>
      <c r="I93" s="422">
        <f t="shared" si="3"/>
        <v>1.1989121724571602E-3</v>
      </c>
      <c r="J93" s="423">
        <f t="shared" si="1"/>
        <v>0.97368106616318717</v>
      </c>
      <c r="L93" s="138"/>
      <c r="M93" s="138"/>
    </row>
    <row r="94" spans="2:13" s="109" customFormat="1" ht="14.25" x14ac:dyDescent="0.2">
      <c r="B94" s="441" t="s">
        <v>766</v>
      </c>
      <c r="C94" s="441" t="s">
        <v>125</v>
      </c>
      <c r="D94" s="441" t="s">
        <v>455</v>
      </c>
      <c r="E94" s="441" t="s">
        <v>22</v>
      </c>
      <c r="F94" s="441">
        <v>414</v>
      </c>
      <c r="G94" s="442">
        <v>6.45</v>
      </c>
      <c r="H94" s="442">
        <v>2670.99</v>
      </c>
      <c r="I94" s="422">
        <f t="shared" si="3"/>
        <v>1.1140621146218542E-3</v>
      </c>
      <c r="J94" s="423">
        <f t="shared" si="1"/>
        <v>0.97479512827780901</v>
      </c>
      <c r="L94" s="138"/>
      <c r="M94" s="138"/>
    </row>
    <row r="95" spans="2:13" s="109" customFormat="1" ht="14.25" x14ac:dyDescent="0.2">
      <c r="B95" s="441" t="s">
        <v>888</v>
      </c>
      <c r="C95" s="441" t="s">
        <v>214</v>
      </c>
      <c r="D95" s="441" t="s">
        <v>889</v>
      </c>
      <c r="E95" s="441" t="s">
        <v>22</v>
      </c>
      <c r="F95" s="441">
        <v>6</v>
      </c>
      <c r="G95" s="442">
        <v>423.83</v>
      </c>
      <c r="H95" s="442">
        <v>2543.0100000000002</v>
      </c>
      <c r="I95" s="422">
        <f t="shared" si="3"/>
        <v>1.0606820310463617E-3</v>
      </c>
      <c r="J95" s="423">
        <f t="shared" si="1"/>
        <v>0.97585581030885538</v>
      </c>
      <c r="L95" s="138"/>
      <c r="M95" s="138"/>
    </row>
    <row r="96" spans="2:13" s="109" customFormat="1" ht="14.25" x14ac:dyDescent="0.2">
      <c r="B96" s="441" t="s">
        <v>1282</v>
      </c>
      <c r="C96" s="441" t="s">
        <v>125</v>
      </c>
      <c r="D96" s="441" t="s">
        <v>1283</v>
      </c>
      <c r="E96" s="441" t="s">
        <v>22</v>
      </c>
      <c r="F96" s="441">
        <v>2</v>
      </c>
      <c r="G96" s="442">
        <v>1236.79</v>
      </c>
      <c r="H96" s="442">
        <v>2473.59</v>
      </c>
      <c r="I96" s="422">
        <f t="shared" si="3"/>
        <v>1.0317271521448873E-3</v>
      </c>
      <c r="J96" s="423">
        <f t="shared" si="1"/>
        <v>0.97688753746100021</v>
      </c>
      <c r="L96" s="138"/>
      <c r="M96" s="138"/>
    </row>
    <row r="97" spans="2:13" s="109" customFormat="1" ht="14.25" x14ac:dyDescent="0.2">
      <c r="B97" s="441" t="s">
        <v>864</v>
      </c>
      <c r="C97" s="441" t="s">
        <v>865</v>
      </c>
      <c r="D97" s="441" t="s">
        <v>866</v>
      </c>
      <c r="E97" s="441" t="s">
        <v>22</v>
      </c>
      <c r="F97" s="441">
        <v>177</v>
      </c>
      <c r="G97" s="442">
        <v>12.4</v>
      </c>
      <c r="H97" s="442">
        <v>2195.38</v>
      </c>
      <c r="I97" s="422">
        <f t="shared" si="3"/>
        <v>9.1568657508958346E-4</v>
      </c>
      <c r="J97" s="423">
        <f t="shared" si="1"/>
        <v>0.97780322403608977</v>
      </c>
      <c r="L97" s="138"/>
      <c r="M97" s="138"/>
    </row>
    <row r="98" spans="2:13" s="109" customFormat="1" ht="14.25" x14ac:dyDescent="0.2">
      <c r="B98" s="441">
        <v>88492</v>
      </c>
      <c r="C98" s="441" t="s">
        <v>31</v>
      </c>
      <c r="D98" s="441" t="s">
        <v>1427</v>
      </c>
      <c r="E98" s="441" t="s">
        <v>2</v>
      </c>
      <c r="F98" s="441">
        <v>180</v>
      </c>
      <c r="G98" s="442">
        <v>12.18</v>
      </c>
      <c r="H98" s="442">
        <v>2193.08</v>
      </c>
      <c r="I98" s="422">
        <f t="shared" si="3"/>
        <v>9.1472725181857516E-4</v>
      </c>
      <c r="J98" s="423">
        <f t="shared" si="1"/>
        <v>0.97871795128790839</v>
      </c>
      <c r="L98" s="138"/>
      <c r="M98" s="138"/>
    </row>
    <row r="99" spans="2:13" s="109" customFormat="1" ht="14.25" x14ac:dyDescent="0.2">
      <c r="B99" s="441" t="s">
        <v>766</v>
      </c>
      <c r="C99" s="441" t="s">
        <v>125</v>
      </c>
      <c r="D99" s="441" t="s">
        <v>455</v>
      </c>
      <c r="E99" s="441" t="s">
        <v>22</v>
      </c>
      <c r="F99" s="441">
        <v>329</v>
      </c>
      <c r="G99" s="442">
        <v>6.45</v>
      </c>
      <c r="H99" s="442">
        <v>2122.6</v>
      </c>
      <c r="I99" s="422">
        <f t="shared" si="3"/>
        <v>8.8533025001828823E-4</v>
      </c>
      <c r="J99" s="423">
        <f t="shared" si="1"/>
        <v>0.97960328153792664</v>
      </c>
      <c r="L99" s="138"/>
      <c r="M99" s="138"/>
    </row>
    <row r="100" spans="2:13" s="109" customFormat="1" ht="14.25" x14ac:dyDescent="0.2">
      <c r="B100" s="441">
        <v>120108</v>
      </c>
      <c r="C100" s="441" t="s">
        <v>214</v>
      </c>
      <c r="D100" s="441" t="s">
        <v>1420</v>
      </c>
      <c r="E100" s="441" t="s">
        <v>2</v>
      </c>
      <c r="F100" s="441">
        <v>9</v>
      </c>
      <c r="G100" s="442">
        <v>230.13</v>
      </c>
      <c r="H100" s="442">
        <v>2071.2399999999998</v>
      </c>
      <c r="I100" s="422">
        <f t="shared" si="3"/>
        <v>8.6390814427960013E-4</v>
      </c>
      <c r="J100" s="423">
        <f t="shared" si="1"/>
        <v>0.98046718968220625</v>
      </c>
      <c r="L100" s="138"/>
      <c r="M100" s="138"/>
    </row>
    <row r="101" spans="2:13" s="109" customFormat="1" ht="14.25" x14ac:dyDescent="0.2">
      <c r="B101" s="441" t="s">
        <v>1502</v>
      </c>
      <c r="C101" s="441" t="s">
        <v>31</v>
      </c>
      <c r="D101" s="441" t="s">
        <v>1503</v>
      </c>
      <c r="E101" s="441" t="s">
        <v>8</v>
      </c>
      <c r="F101" s="441">
        <v>23.625</v>
      </c>
      <c r="G101" s="442">
        <v>84.09</v>
      </c>
      <c r="H101" s="442">
        <v>1986.65</v>
      </c>
      <c r="I101" s="422">
        <f t="shared" si="3"/>
        <v>8.2862590276021504E-4</v>
      </c>
      <c r="J101" s="423">
        <f t="shared" si="1"/>
        <v>0.98129581558496648</v>
      </c>
      <c r="L101" s="138"/>
      <c r="M101" s="138"/>
    </row>
    <row r="102" spans="2:13" s="109" customFormat="1" ht="14.25" x14ac:dyDescent="0.2">
      <c r="B102" s="441" t="s">
        <v>779</v>
      </c>
      <c r="C102" s="441" t="s">
        <v>214</v>
      </c>
      <c r="D102" s="441" t="s">
        <v>780</v>
      </c>
      <c r="E102" s="441" t="s">
        <v>22</v>
      </c>
      <c r="F102" s="441">
        <v>24</v>
      </c>
      <c r="G102" s="442">
        <v>82.27</v>
      </c>
      <c r="H102" s="442">
        <v>1974.58</v>
      </c>
      <c r="I102" s="422">
        <f t="shared" si="3"/>
        <v>8.2359154107279359E-4</v>
      </c>
      <c r="J102" s="423">
        <f t="shared" si="1"/>
        <v>0.98211940712603929</v>
      </c>
      <c r="L102" s="138"/>
      <c r="M102" s="138"/>
    </row>
    <row r="103" spans="2:13" s="109" customFormat="1" ht="14.25" x14ac:dyDescent="0.2">
      <c r="B103" s="441" t="s">
        <v>867</v>
      </c>
      <c r="C103" s="441" t="s">
        <v>31</v>
      </c>
      <c r="D103" s="441" t="s">
        <v>868</v>
      </c>
      <c r="E103" s="441" t="s">
        <v>22</v>
      </c>
      <c r="F103" s="441">
        <v>186</v>
      </c>
      <c r="G103" s="442">
        <v>10.5</v>
      </c>
      <c r="H103" s="442">
        <v>1953.14</v>
      </c>
      <c r="I103" s="422">
        <f t="shared" si="3"/>
        <v>8.1464897979869949E-4</v>
      </c>
      <c r="J103" s="423">
        <f t="shared" si="1"/>
        <v>0.98293405610583795</v>
      </c>
      <c r="L103" s="138"/>
      <c r="M103" s="138"/>
    </row>
    <row r="104" spans="2:13" s="109" customFormat="1" ht="14.25" x14ac:dyDescent="0.2">
      <c r="B104" s="441" t="s">
        <v>779</v>
      </c>
      <c r="C104" s="441" t="s">
        <v>214</v>
      </c>
      <c r="D104" s="441" t="s">
        <v>780</v>
      </c>
      <c r="E104" s="441" t="s">
        <v>22</v>
      </c>
      <c r="F104" s="441">
        <v>20</v>
      </c>
      <c r="G104" s="442">
        <v>82.27</v>
      </c>
      <c r="H104" s="442">
        <v>1645.48</v>
      </c>
      <c r="I104" s="422">
        <f t="shared" si="3"/>
        <v>6.863248939037468E-4</v>
      </c>
      <c r="J104" s="423">
        <f t="shared" si="1"/>
        <v>0.98362038099974169</v>
      </c>
      <c r="L104" s="138"/>
      <c r="M104" s="138"/>
    </row>
    <row r="105" spans="2:13" s="109" customFormat="1" ht="14.25" x14ac:dyDescent="0.2">
      <c r="B105" s="441" t="s">
        <v>777</v>
      </c>
      <c r="C105" s="441" t="s">
        <v>214</v>
      </c>
      <c r="D105" s="441" t="s">
        <v>778</v>
      </c>
      <c r="E105" s="441" t="s">
        <v>22</v>
      </c>
      <c r="F105" s="441">
        <v>2</v>
      </c>
      <c r="G105" s="442">
        <v>815.8</v>
      </c>
      <c r="H105" s="442">
        <v>1631.6</v>
      </c>
      <c r="I105" s="422">
        <f t="shared" si="3"/>
        <v>6.8053558651174934E-4</v>
      </c>
      <c r="J105" s="423">
        <f t="shared" si="1"/>
        <v>0.9843009165862534</v>
      </c>
      <c r="L105" s="138"/>
      <c r="M105" s="138"/>
    </row>
    <row r="106" spans="2:13" s="109" customFormat="1" ht="14.25" x14ac:dyDescent="0.2">
      <c r="B106" s="441" t="s">
        <v>124</v>
      </c>
      <c r="C106" s="441" t="s">
        <v>125</v>
      </c>
      <c r="D106" s="441" t="s">
        <v>126</v>
      </c>
      <c r="E106" s="441" t="s">
        <v>127</v>
      </c>
      <c r="F106" s="441">
        <v>120</v>
      </c>
      <c r="G106" s="442">
        <v>12.19</v>
      </c>
      <c r="H106" s="442">
        <v>1463.52</v>
      </c>
      <c r="I106" s="422">
        <f t="shared" si="3"/>
        <v>6.1042991025476545E-4</v>
      </c>
      <c r="J106" s="423">
        <f t="shared" si="1"/>
        <v>0.98491134649650813</v>
      </c>
      <c r="L106" s="138"/>
      <c r="M106" s="138"/>
    </row>
    <row r="107" spans="2:13" s="109" customFormat="1" ht="14.25" x14ac:dyDescent="0.2">
      <c r="B107" s="441">
        <v>10029</v>
      </c>
      <c r="C107" s="441" t="s">
        <v>177</v>
      </c>
      <c r="D107" s="441" t="s">
        <v>1425</v>
      </c>
      <c r="E107" s="441" t="s">
        <v>2</v>
      </c>
      <c r="F107" s="441">
        <v>9</v>
      </c>
      <c r="G107" s="442">
        <v>153.21</v>
      </c>
      <c r="H107" s="442">
        <v>1378.96</v>
      </c>
      <c r="I107" s="422">
        <f t="shared" si="3"/>
        <v>5.7516018164761081E-4</v>
      </c>
      <c r="J107" s="423">
        <f t="shared" si="1"/>
        <v>0.98548650667815574</v>
      </c>
      <c r="L107" s="138"/>
      <c r="M107" s="138"/>
    </row>
    <row r="108" spans="2:13" s="109" customFormat="1" ht="14.25" x14ac:dyDescent="0.2">
      <c r="B108" s="441" t="s">
        <v>776</v>
      </c>
      <c r="C108" s="441" t="s">
        <v>125</v>
      </c>
      <c r="D108" s="441" t="s">
        <v>562</v>
      </c>
      <c r="E108" s="441" t="s">
        <v>245</v>
      </c>
      <c r="F108" s="441">
        <v>2</v>
      </c>
      <c r="G108" s="442">
        <v>636.86</v>
      </c>
      <c r="H108" s="442">
        <v>1273.72</v>
      </c>
      <c r="I108" s="422">
        <f t="shared" si="3"/>
        <v>5.3126488554286922E-4</v>
      </c>
      <c r="J108" s="423">
        <f t="shared" si="1"/>
        <v>0.98601777156369863</v>
      </c>
      <c r="L108" s="138"/>
      <c r="M108" s="138"/>
    </row>
    <row r="109" spans="2:13" s="109" customFormat="1" ht="14.25" x14ac:dyDescent="0.2">
      <c r="B109" s="441" t="s">
        <v>1041</v>
      </c>
      <c r="C109" s="441" t="s">
        <v>125</v>
      </c>
      <c r="D109" s="441" t="s">
        <v>1042</v>
      </c>
      <c r="E109" s="441" t="s">
        <v>22</v>
      </c>
      <c r="F109" s="441">
        <v>9</v>
      </c>
      <c r="G109" s="442">
        <v>139.43</v>
      </c>
      <c r="H109" s="442">
        <v>1254.93</v>
      </c>
      <c r="I109" s="422">
        <f t="shared" si="3"/>
        <v>5.2342763151580637E-4</v>
      </c>
      <c r="J109" s="423">
        <f t="shared" si="1"/>
        <v>0.98654119919521444</v>
      </c>
      <c r="L109" s="138"/>
      <c r="M109" s="138"/>
    </row>
    <row r="110" spans="2:13" s="109" customFormat="1" ht="14.25" x14ac:dyDescent="0.2">
      <c r="B110" s="441" t="s">
        <v>1251</v>
      </c>
      <c r="C110" s="441" t="s">
        <v>125</v>
      </c>
      <c r="D110" s="441" t="s">
        <v>1252</v>
      </c>
      <c r="E110" s="441" t="s">
        <v>22</v>
      </c>
      <c r="F110" s="441">
        <v>99</v>
      </c>
      <c r="G110" s="442">
        <v>12.31</v>
      </c>
      <c r="H110" s="442">
        <v>1219.47</v>
      </c>
      <c r="I110" s="422">
        <f t="shared" si="3"/>
        <v>5.0863736925930558E-4</v>
      </c>
      <c r="J110" s="423">
        <f t="shared" si="1"/>
        <v>0.98704983656447376</v>
      </c>
      <c r="L110" s="138"/>
      <c r="M110" s="138"/>
    </row>
    <row r="111" spans="2:13" s="109" customFormat="1" ht="14.25" x14ac:dyDescent="0.2">
      <c r="B111" s="441" t="s">
        <v>767</v>
      </c>
      <c r="C111" s="441" t="s">
        <v>125</v>
      </c>
      <c r="D111" s="441" t="s">
        <v>472</v>
      </c>
      <c r="E111" s="441" t="s">
        <v>227</v>
      </c>
      <c r="F111" s="441">
        <v>234</v>
      </c>
      <c r="G111" s="442">
        <v>5.17</v>
      </c>
      <c r="H111" s="442">
        <v>1210.03</v>
      </c>
      <c r="I111" s="422">
        <f t="shared" ref="I111:I142" si="4">H111/$H$172</f>
        <v>5.046999728774283E-4</v>
      </c>
      <c r="J111" s="423">
        <f t="shared" si="1"/>
        <v>0.98755453653735115</v>
      </c>
      <c r="L111" s="138"/>
      <c r="M111" s="138"/>
    </row>
    <row r="112" spans="2:13" s="109" customFormat="1" ht="14.25" x14ac:dyDescent="0.2">
      <c r="B112" s="441" t="s">
        <v>1504</v>
      </c>
      <c r="C112" s="441" t="s">
        <v>31</v>
      </c>
      <c r="D112" s="441" t="s">
        <v>1505</v>
      </c>
      <c r="E112" s="441" t="s">
        <v>8</v>
      </c>
      <c r="F112" s="441">
        <v>23.625</v>
      </c>
      <c r="G112" s="442">
        <v>50.97</v>
      </c>
      <c r="H112" s="442">
        <v>1204.3800000000001</v>
      </c>
      <c r="I112" s="422">
        <f t="shared" si="4"/>
        <v>5.0234337440734295E-4</v>
      </c>
      <c r="J112" s="423">
        <f t="shared" si="1"/>
        <v>0.9880568799117585</v>
      </c>
      <c r="L112" s="138"/>
      <c r="M112" s="138"/>
    </row>
    <row r="113" spans="2:13" s="109" customFormat="1" ht="14.25" x14ac:dyDescent="0.2">
      <c r="B113" s="441" t="s">
        <v>1002</v>
      </c>
      <c r="C113" s="441" t="s">
        <v>177</v>
      </c>
      <c r="D113" s="441" t="s">
        <v>1003</v>
      </c>
      <c r="E113" s="441" t="s">
        <v>227</v>
      </c>
      <c r="F113" s="441">
        <v>2495</v>
      </c>
      <c r="G113" s="442">
        <v>0.46</v>
      </c>
      <c r="H113" s="442">
        <v>1156.3</v>
      </c>
      <c r="I113" s="422">
        <f t="shared" si="4"/>
        <v>4.8228934707252741E-4</v>
      </c>
      <c r="J113" s="423">
        <f t="shared" si="1"/>
        <v>0.98853916925883101</v>
      </c>
      <c r="L113" s="138"/>
      <c r="M113" s="138"/>
    </row>
    <row r="114" spans="2:13" s="109" customFormat="1" ht="14.25" x14ac:dyDescent="0.2">
      <c r="B114" s="441" t="s">
        <v>1360</v>
      </c>
      <c r="C114" s="441" t="s">
        <v>125</v>
      </c>
      <c r="D114" s="441" t="s">
        <v>1361</v>
      </c>
      <c r="E114" s="441" t="s">
        <v>22</v>
      </c>
      <c r="F114" s="441">
        <v>1</v>
      </c>
      <c r="G114" s="442">
        <v>1119.01</v>
      </c>
      <c r="H114" s="442">
        <v>1119.01</v>
      </c>
      <c r="I114" s="422">
        <f t="shared" si="4"/>
        <v>4.6673579716996358E-4</v>
      </c>
      <c r="J114" s="423">
        <f t="shared" si="1"/>
        <v>0.98900590505600094</v>
      </c>
      <c r="L114" s="138"/>
      <c r="M114" s="138"/>
    </row>
    <row r="115" spans="2:13" s="109" customFormat="1" ht="14.25" x14ac:dyDescent="0.2">
      <c r="B115" s="441" t="s">
        <v>990</v>
      </c>
      <c r="C115" s="441" t="s">
        <v>214</v>
      </c>
      <c r="D115" s="441" t="s">
        <v>991</v>
      </c>
      <c r="E115" s="441" t="s">
        <v>22</v>
      </c>
      <c r="F115" s="441">
        <v>22</v>
      </c>
      <c r="G115" s="442">
        <v>50.4</v>
      </c>
      <c r="H115" s="442">
        <v>1108.93</v>
      </c>
      <c r="I115" s="422">
        <f t="shared" si="4"/>
        <v>4.6253145866050147E-4</v>
      </c>
      <c r="J115" s="423">
        <f t="shared" si="1"/>
        <v>0.98946843651466143</v>
      </c>
      <c r="L115" s="138"/>
      <c r="M115" s="138"/>
    </row>
    <row r="116" spans="2:13" s="109" customFormat="1" ht="14.25" x14ac:dyDescent="0.2">
      <c r="B116" s="441" t="s">
        <v>783</v>
      </c>
      <c r="C116" s="441" t="s">
        <v>214</v>
      </c>
      <c r="D116" s="441" t="s">
        <v>784</v>
      </c>
      <c r="E116" s="441" t="s">
        <v>22</v>
      </c>
      <c r="F116" s="441">
        <v>9</v>
      </c>
      <c r="G116" s="442">
        <v>120.97</v>
      </c>
      <c r="H116" s="442">
        <v>1088.74</v>
      </c>
      <c r="I116" s="422">
        <f t="shared" si="4"/>
        <v>4.5411026872934664E-4</v>
      </c>
      <c r="J116" s="423">
        <f t="shared" si="1"/>
        <v>0.98992254678339076</v>
      </c>
      <c r="L116" s="138"/>
      <c r="M116" s="138"/>
    </row>
    <row r="117" spans="2:13" s="109" customFormat="1" ht="14.25" x14ac:dyDescent="0.2">
      <c r="B117" s="441" t="s">
        <v>997</v>
      </c>
      <c r="C117" s="441" t="s">
        <v>214</v>
      </c>
      <c r="D117" s="441" t="s">
        <v>998</v>
      </c>
      <c r="E117" s="441" t="s">
        <v>22</v>
      </c>
      <c r="F117" s="441">
        <v>28</v>
      </c>
      <c r="G117" s="442">
        <v>38.69</v>
      </c>
      <c r="H117" s="442">
        <v>1083.54</v>
      </c>
      <c r="I117" s="422">
        <f t="shared" si="4"/>
        <v>4.5194136394271931E-4</v>
      </c>
      <c r="J117" s="423">
        <f t="shared" si="1"/>
        <v>0.99037448814733342</v>
      </c>
      <c r="L117" s="138"/>
      <c r="M117" s="138"/>
    </row>
    <row r="118" spans="2:13" s="109" customFormat="1" ht="14.25" x14ac:dyDescent="0.2">
      <c r="B118" s="441" t="s">
        <v>1346</v>
      </c>
      <c r="C118" s="441" t="s">
        <v>177</v>
      </c>
      <c r="D118" s="441" t="s">
        <v>1349</v>
      </c>
      <c r="E118" s="441" t="s">
        <v>227</v>
      </c>
      <c r="F118" s="441">
        <v>24</v>
      </c>
      <c r="G118" s="442">
        <v>42.94</v>
      </c>
      <c r="H118" s="442">
        <v>1030.6099999999999</v>
      </c>
      <c r="I118" s="422">
        <f t="shared" si="4"/>
        <v>4.2986441579729955E-4</v>
      </c>
      <c r="J118" s="423">
        <f t="shared" si="1"/>
        <v>0.99080435256313071</v>
      </c>
      <c r="L118" s="138"/>
      <c r="M118" s="138"/>
    </row>
    <row r="119" spans="2:13" s="109" customFormat="1" ht="14.25" x14ac:dyDescent="0.2">
      <c r="B119" s="441" t="s">
        <v>757</v>
      </c>
      <c r="C119" s="441" t="s">
        <v>31</v>
      </c>
      <c r="D119" s="441" t="s">
        <v>758</v>
      </c>
      <c r="E119" s="441" t="s">
        <v>22</v>
      </c>
      <c r="F119" s="441">
        <v>10</v>
      </c>
      <c r="G119" s="442">
        <v>102.2</v>
      </c>
      <c r="H119" s="442">
        <v>1022.02</v>
      </c>
      <c r="I119" s="422">
        <f t="shared" si="4"/>
        <v>4.26281551928621E-4</v>
      </c>
      <c r="J119" s="423">
        <f t="shared" si="1"/>
        <v>0.99123063411505929</v>
      </c>
      <c r="L119" s="138"/>
      <c r="M119" s="138"/>
    </row>
    <row r="120" spans="2:13" s="109" customFormat="1" ht="14.25" x14ac:dyDescent="0.2">
      <c r="B120" s="441" t="s">
        <v>759</v>
      </c>
      <c r="C120" s="441" t="s">
        <v>214</v>
      </c>
      <c r="D120" s="441" t="s">
        <v>760</v>
      </c>
      <c r="E120" s="441" t="s">
        <v>22</v>
      </c>
      <c r="F120" s="441">
        <v>4</v>
      </c>
      <c r="G120" s="442">
        <v>248.46</v>
      </c>
      <c r="H120" s="442">
        <v>993.87</v>
      </c>
      <c r="I120" s="422">
        <f t="shared" si="4"/>
        <v>4.1454026928562903E-4</v>
      </c>
      <c r="J120" s="423">
        <f t="shared" si="1"/>
        <v>0.99164517438434496</v>
      </c>
      <c r="L120" s="138"/>
      <c r="M120" s="138"/>
    </row>
    <row r="121" spans="2:13" s="109" customFormat="1" ht="14.25" x14ac:dyDescent="0.2">
      <c r="B121" s="441">
        <v>97641</v>
      </c>
      <c r="C121" s="441" t="s">
        <v>31</v>
      </c>
      <c r="D121" s="441" t="s">
        <v>1422</v>
      </c>
      <c r="E121" s="441" t="s">
        <v>2</v>
      </c>
      <c r="F121" s="441">
        <v>180</v>
      </c>
      <c r="G121" s="442">
        <v>4.8499999999999996</v>
      </c>
      <c r="H121" s="442">
        <v>873.72</v>
      </c>
      <c r="I121" s="422">
        <f t="shared" si="4"/>
        <v>3.6442605580230792E-4</v>
      </c>
      <c r="J121" s="423">
        <f t="shared" si="1"/>
        <v>0.9920096004401473</v>
      </c>
      <c r="L121" s="138"/>
      <c r="M121" s="138"/>
    </row>
    <row r="122" spans="2:13" s="109" customFormat="1" ht="14.25" x14ac:dyDescent="0.2">
      <c r="B122" s="441" t="s">
        <v>305</v>
      </c>
      <c r="C122" s="441" t="s">
        <v>31</v>
      </c>
      <c r="D122" s="441" t="s">
        <v>306</v>
      </c>
      <c r="E122" s="441" t="s">
        <v>22</v>
      </c>
      <c r="F122" s="441">
        <v>18</v>
      </c>
      <c r="G122" s="442">
        <v>45.33</v>
      </c>
      <c r="H122" s="442">
        <v>815.98</v>
      </c>
      <c r="I122" s="422">
        <f t="shared" si="4"/>
        <v>3.4034287072925794E-4</v>
      </c>
      <c r="J122" s="423">
        <f t="shared" si="1"/>
        <v>0.99234994331087656</v>
      </c>
      <c r="L122" s="138"/>
      <c r="M122" s="138"/>
    </row>
    <row r="123" spans="2:13" s="109" customFormat="1" ht="14.25" x14ac:dyDescent="0.2">
      <c r="B123" s="441" t="s">
        <v>937</v>
      </c>
      <c r="C123" s="441" t="s">
        <v>177</v>
      </c>
      <c r="D123" s="441" t="s">
        <v>938</v>
      </c>
      <c r="E123" s="441" t="s">
        <v>227</v>
      </c>
      <c r="F123" s="441">
        <v>3</v>
      </c>
      <c r="G123" s="442">
        <v>264.23</v>
      </c>
      <c r="H123" s="442">
        <v>792.71</v>
      </c>
      <c r="I123" s="422">
        <f t="shared" si="4"/>
        <v>3.306370218091008E-4</v>
      </c>
      <c r="J123" s="423">
        <f t="shared" si="1"/>
        <v>0.99268058033268569</v>
      </c>
      <c r="L123" s="138"/>
      <c r="M123" s="138"/>
    </row>
    <row r="124" spans="2:13" s="109" customFormat="1" ht="14.25" x14ac:dyDescent="0.2">
      <c r="B124" s="441" t="s">
        <v>1013</v>
      </c>
      <c r="C124" s="441" t="s">
        <v>905</v>
      </c>
      <c r="D124" s="441" t="s">
        <v>1014</v>
      </c>
      <c r="E124" s="441" t="s">
        <v>847</v>
      </c>
      <c r="F124" s="441">
        <v>1664</v>
      </c>
      <c r="G124" s="442">
        <v>0.46</v>
      </c>
      <c r="H124" s="442">
        <v>771.17</v>
      </c>
      <c r="I124" s="422">
        <f t="shared" si="4"/>
        <v>3.2165275082757152E-4</v>
      </c>
      <c r="J124" s="423">
        <f t="shared" si="1"/>
        <v>0.99300223308351321</v>
      </c>
      <c r="L124" s="138"/>
      <c r="M124" s="138"/>
    </row>
    <row r="125" spans="2:13" s="109" customFormat="1" ht="14.25" x14ac:dyDescent="0.2">
      <c r="B125" s="441" t="s">
        <v>765</v>
      </c>
      <c r="C125" s="441" t="s">
        <v>125</v>
      </c>
      <c r="D125" s="441" t="s">
        <v>452</v>
      </c>
      <c r="E125" s="441" t="s">
        <v>22</v>
      </c>
      <c r="F125" s="441">
        <v>48</v>
      </c>
      <c r="G125" s="442">
        <v>15.39</v>
      </c>
      <c r="H125" s="442">
        <v>738.78</v>
      </c>
      <c r="I125" s="422">
        <f t="shared" si="4"/>
        <v>3.0814297658932961E-4</v>
      </c>
      <c r="J125" s="423">
        <f t="shared" si="1"/>
        <v>0.99331037606010253</v>
      </c>
      <c r="L125" s="138"/>
      <c r="M125" s="138"/>
    </row>
    <row r="126" spans="2:13" s="109" customFormat="1" ht="14.25" x14ac:dyDescent="0.2">
      <c r="B126" s="441" t="s">
        <v>1395</v>
      </c>
      <c r="C126" s="441" t="s">
        <v>1396</v>
      </c>
      <c r="D126" s="441" t="s">
        <v>1397</v>
      </c>
      <c r="E126" s="441" t="s">
        <v>22</v>
      </c>
      <c r="F126" s="441">
        <v>10</v>
      </c>
      <c r="G126" s="442">
        <v>73.11</v>
      </c>
      <c r="H126" s="442">
        <v>731.15</v>
      </c>
      <c r="I126" s="422">
        <f t="shared" si="4"/>
        <v>3.049605259120284E-4</v>
      </c>
      <c r="J126" s="423">
        <f t="shared" si="1"/>
        <v>0.99361533658601453</v>
      </c>
      <c r="L126" s="138"/>
      <c r="M126" s="138"/>
    </row>
    <row r="127" spans="2:13" s="109" customFormat="1" ht="14.25" x14ac:dyDescent="0.2">
      <c r="B127" s="441" t="s">
        <v>1344</v>
      </c>
      <c r="C127" s="441" t="s">
        <v>31</v>
      </c>
      <c r="D127" s="441" t="s">
        <v>1345</v>
      </c>
      <c r="E127" s="441" t="s">
        <v>22</v>
      </c>
      <c r="F127" s="441">
        <v>1112</v>
      </c>
      <c r="G127" s="442">
        <v>0.64</v>
      </c>
      <c r="H127" s="442">
        <v>718.78</v>
      </c>
      <c r="I127" s="422">
        <f t="shared" si="4"/>
        <v>2.9980103510230153E-4</v>
      </c>
      <c r="J127" s="423">
        <f t="shared" si="1"/>
        <v>0.99391513762111683</v>
      </c>
      <c r="L127" s="138"/>
      <c r="M127" s="138"/>
    </row>
    <row r="128" spans="2:13" s="109" customFormat="1" ht="14.25" x14ac:dyDescent="0.2">
      <c r="B128" s="441" t="s">
        <v>929</v>
      </c>
      <c r="C128" s="441" t="s">
        <v>214</v>
      </c>
      <c r="D128" s="441" t="s">
        <v>930</v>
      </c>
      <c r="E128" s="441" t="s">
        <v>22</v>
      </c>
      <c r="F128" s="441">
        <v>8</v>
      </c>
      <c r="G128" s="442">
        <v>89.77</v>
      </c>
      <c r="H128" s="442">
        <v>718.19</v>
      </c>
      <c r="I128" s="422">
        <f t="shared" si="4"/>
        <v>2.9955494782843423E-4</v>
      </c>
      <c r="J128" s="423">
        <f t="shared" si="1"/>
        <v>0.99421469256894524</v>
      </c>
      <c r="L128" s="138"/>
      <c r="M128" s="138"/>
    </row>
    <row r="129" spans="2:13" s="109" customFormat="1" ht="14.25" x14ac:dyDescent="0.2">
      <c r="B129" s="441" t="s">
        <v>1041</v>
      </c>
      <c r="C129" s="441" t="s">
        <v>125</v>
      </c>
      <c r="D129" s="441" t="s">
        <v>1042</v>
      </c>
      <c r="E129" s="441" t="s">
        <v>22</v>
      </c>
      <c r="F129" s="441">
        <v>5</v>
      </c>
      <c r="G129" s="442">
        <v>139.43</v>
      </c>
      <c r="H129" s="442">
        <v>697.18</v>
      </c>
      <c r="I129" s="422">
        <f t="shared" si="4"/>
        <v>2.9079173829631123E-4</v>
      </c>
      <c r="J129" s="423">
        <f t="shared" si="1"/>
        <v>0.99450548430724151</v>
      </c>
      <c r="L129" s="138"/>
      <c r="M129" s="138"/>
    </row>
    <row r="130" spans="2:13" s="109" customFormat="1" ht="14.25" x14ac:dyDescent="0.2">
      <c r="B130" s="441" t="s">
        <v>925</v>
      </c>
      <c r="C130" s="441" t="s">
        <v>875</v>
      </c>
      <c r="D130" s="441" t="s">
        <v>926</v>
      </c>
      <c r="E130" s="441" t="s">
        <v>227</v>
      </c>
      <c r="F130" s="441">
        <v>6</v>
      </c>
      <c r="G130" s="442">
        <v>112.95</v>
      </c>
      <c r="H130" s="442">
        <v>677.75</v>
      </c>
      <c r="I130" s="422">
        <f t="shared" si="4"/>
        <v>2.8268754214166348E-4</v>
      </c>
      <c r="J130" s="423">
        <f t="shared" si="1"/>
        <v>0.99478817184938317</v>
      </c>
      <c r="L130" s="138"/>
      <c r="M130" s="138"/>
    </row>
    <row r="131" spans="2:13" s="109" customFormat="1" ht="14.25" x14ac:dyDescent="0.2">
      <c r="B131" s="441" t="s">
        <v>933</v>
      </c>
      <c r="C131" s="441" t="s">
        <v>875</v>
      </c>
      <c r="D131" s="441" t="s">
        <v>934</v>
      </c>
      <c r="E131" s="441" t="s">
        <v>227</v>
      </c>
      <c r="F131" s="441">
        <v>6</v>
      </c>
      <c r="G131" s="442">
        <v>112.95</v>
      </c>
      <c r="H131" s="442">
        <v>677.75</v>
      </c>
      <c r="I131" s="422">
        <f t="shared" si="4"/>
        <v>2.8268754214166348E-4</v>
      </c>
      <c r="J131" s="423">
        <f t="shared" si="1"/>
        <v>0.99507085939152484</v>
      </c>
      <c r="L131" s="138"/>
      <c r="M131" s="138"/>
    </row>
    <row r="132" spans="2:13" s="109" customFormat="1" ht="14.25" x14ac:dyDescent="0.2">
      <c r="B132" s="441" t="s">
        <v>935</v>
      </c>
      <c r="C132" s="441" t="s">
        <v>875</v>
      </c>
      <c r="D132" s="441" t="s">
        <v>936</v>
      </c>
      <c r="E132" s="441" t="s">
        <v>227</v>
      </c>
      <c r="F132" s="441">
        <v>6</v>
      </c>
      <c r="G132" s="442">
        <v>112.95</v>
      </c>
      <c r="H132" s="442">
        <v>677.75</v>
      </c>
      <c r="I132" s="422">
        <f t="shared" si="4"/>
        <v>2.8268754214166348E-4</v>
      </c>
      <c r="J132" s="423">
        <f t="shared" si="1"/>
        <v>0.99535354693366651</v>
      </c>
      <c r="L132" s="138"/>
      <c r="M132" s="138"/>
    </row>
    <row r="133" spans="2:13" s="109" customFormat="1" ht="14.25" x14ac:dyDescent="0.2">
      <c r="B133" s="441" t="s">
        <v>1251</v>
      </c>
      <c r="C133" s="441" t="s">
        <v>125</v>
      </c>
      <c r="D133" s="441" t="s">
        <v>1252</v>
      </c>
      <c r="E133" s="441" t="s">
        <v>22</v>
      </c>
      <c r="F133" s="441">
        <v>55</v>
      </c>
      <c r="G133" s="442">
        <v>12.31</v>
      </c>
      <c r="H133" s="442">
        <v>677.48</v>
      </c>
      <c r="I133" s="422">
        <f t="shared" si="4"/>
        <v>2.8257492593158857E-4</v>
      </c>
      <c r="J133" s="423">
        <f t="shared" si="1"/>
        <v>0.99563612185959804</v>
      </c>
      <c r="L133" s="138"/>
      <c r="M133" s="138"/>
    </row>
    <row r="134" spans="2:13" s="109" customFormat="1" ht="14.25" x14ac:dyDescent="0.2">
      <c r="B134" s="441" t="s">
        <v>783</v>
      </c>
      <c r="C134" s="441" t="s">
        <v>214</v>
      </c>
      <c r="D134" s="441" t="s">
        <v>784</v>
      </c>
      <c r="E134" s="441" t="s">
        <v>22</v>
      </c>
      <c r="F134" s="441">
        <v>5</v>
      </c>
      <c r="G134" s="442">
        <v>120.97</v>
      </c>
      <c r="H134" s="442">
        <v>604.86</v>
      </c>
      <c r="I134" s="422">
        <f t="shared" si="4"/>
        <v>2.522853363921897E-4</v>
      </c>
      <c r="J134" s="423">
        <f t="shared" si="1"/>
        <v>0.99588840719599026</v>
      </c>
      <c r="L134" s="138"/>
      <c r="M134" s="138"/>
    </row>
    <row r="135" spans="2:13" s="109" customFormat="1" ht="14.25" x14ac:dyDescent="0.2">
      <c r="B135" s="441" t="s">
        <v>743</v>
      </c>
      <c r="C135" s="441" t="s">
        <v>125</v>
      </c>
      <c r="D135" s="441" t="s">
        <v>738</v>
      </c>
      <c r="E135" s="441" t="s">
        <v>2</v>
      </c>
      <c r="F135" s="441">
        <v>1.5</v>
      </c>
      <c r="G135" s="442">
        <v>402.05</v>
      </c>
      <c r="H135" s="442">
        <v>603.08000000000004</v>
      </c>
      <c r="I135" s="422">
        <f t="shared" si="4"/>
        <v>2.515429035998442E-4</v>
      </c>
      <c r="J135" s="423">
        <f t="shared" ref="J135:J163" si="5">J134+I135</f>
        <v>0.99613995009959011</v>
      </c>
      <c r="L135" s="138"/>
      <c r="M135" s="138"/>
    </row>
    <row r="136" spans="2:13" s="109" customFormat="1" ht="14.25" x14ac:dyDescent="0.2">
      <c r="B136" s="441" t="s">
        <v>768</v>
      </c>
      <c r="C136" s="441" t="s">
        <v>125</v>
      </c>
      <c r="D136" s="441" t="s">
        <v>492</v>
      </c>
      <c r="E136" s="441" t="s">
        <v>227</v>
      </c>
      <c r="F136" s="441">
        <v>820</v>
      </c>
      <c r="G136" s="442">
        <v>0.73</v>
      </c>
      <c r="H136" s="442">
        <v>600.04</v>
      </c>
      <c r="I136" s="422">
        <f t="shared" si="4"/>
        <v>2.5027492849381594E-4</v>
      </c>
      <c r="J136" s="423">
        <f t="shared" si="5"/>
        <v>0.99639022502808394</v>
      </c>
      <c r="L136" s="138"/>
      <c r="M136" s="138"/>
    </row>
    <row r="137" spans="2:13" s="109" customFormat="1" ht="14.25" x14ac:dyDescent="0.2">
      <c r="B137" s="441">
        <v>72596</v>
      </c>
      <c r="C137" s="441" t="s">
        <v>905</v>
      </c>
      <c r="D137" s="441" t="s">
        <v>1032</v>
      </c>
      <c r="E137" s="441" t="s">
        <v>847</v>
      </c>
      <c r="F137" s="441">
        <v>17</v>
      </c>
      <c r="G137" s="442">
        <v>33.159999999999997</v>
      </c>
      <c r="H137" s="442">
        <v>563.73</v>
      </c>
      <c r="I137" s="422">
        <f t="shared" si="4"/>
        <v>2.3513013372411648E-4</v>
      </c>
      <c r="J137" s="423">
        <f t="shared" si="5"/>
        <v>0.99662535516180806</v>
      </c>
      <c r="L137" s="138"/>
      <c r="M137" s="138"/>
    </row>
    <row r="138" spans="2:13" s="109" customFormat="1" ht="14.25" x14ac:dyDescent="0.2">
      <c r="B138" s="441" t="s">
        <v>939</v>
      </c>
      <c r="C138" s="441" t="s">
        <v>875</v>
      </c>
      <c r="D138" s="441" t="s">
        <v>940</v>
      </c>
      <c r="E138" s="441" t="s">
        <v>227</v>
      </c>
      <c r="F138" s="441">
        <v>4</v>
      </c>
      <c r="G138" s="442">
        <v>140.71</v>
      </c>
      <c r="H138" s="442">
        <v>562.86</v>
      </c>
      <c r="I138" s="422">
        <f t="shared" si="4"/>
        <v>2.3476725926943078E-4</v>
      </c>
      <c r="J138" s="423">
        <f t="shared" si="5"/>
        <v>0.99686012242107747</v>
      </c>
      <c r="L138" s="138"/>
      <c r="M138" s="138"/>
    </row>
    <row r="139" spans="2:13" s="109" customFormat="1" ht="14.25" x14ac:dyDescent="0.2">
      <c r="B139" s="441" t="s">
        <v>765</v>
      </c>
      <c r="C139" s="441" t="s">
        <v>125</v>
      </c>
      <c r="D139" s="441" t="s">
        <v>452</v>
      </c>
      <c r="E139" s="441" t="s">
        <v>22</v>
      </c>
      <c r="F139" s="441">
        <v>31</v>
      </c>
      <c r="G139" s="442">
        <v>15.39</v>
      </c>
      <c r="H139" s="442">
        <v>477.13</v>
      </c>
      <c r="I139" s="422">
        <f t="shared" si="4"/>
        <v>1.9900952708528497E-4</v>
      </c>
      <c r="J139" s="423">
        <f t="shared" si="5"/>
        <v>0.99705913194816276</v>
      </c>
      <c r="L139" s="138"/>
      <c r="M139" s="138"/>
    </row>
    <row r="140" spans="2:13" s="109" customFormat="1" ht="14.25" x14ac:dyDescent="0.2">
      <c r="B140" s="441" t="s">
        <v>890</v>
      </c>
      <c r="C140" s="441" t="s">
        <v>214</v>
      </c>
      <c r="D140" s="441" t="s">
        <v>891</v>
      </c>
      <c r="E140" s="441" t="s">
        <v>22</v>
      </c>
      <c r="F140" s="441">
        <v>6</v>
      </c>
      <c r="G140" s="442">
        <v>77.95</v>
      </c>
      <c r="H140" s="442">
        <v>467.74</v>
      </c>
      <c r="I140" s="422">
        <f t="shared" si="4"/>
        <v>1.9509298555712531E-4</v>
      </c>
      <c r="J140" s="423">
        <f t="shared" si="5"/>
        <v>0.99725422493371985</v>
      </c>
      <c r="L140" s="138"/>
      <c r="M140" s="138"/>
    </row>
    <row r="141" spans="2:13" s="109" customFormat="1" ht="14.25" x14ac:dyDescent="0.2">
      <c r="B141" s="441" t="s">
        <v>1255</v>
      </c>
      <c r="C141" s="441" t="s">
        <v>125</v>
      </c>
      <c r="D141" s="441" t="s">
        <v>1256</v>
      </c>
      <c r="E141" s="441" t="s">
        <v>22</v>
      </c>
      <c r="F141" s="441">
        <v>5</v>
      </c>
      <c r="G141" s="442">
        <v>80.05</v>
      </c>
      <c r="H141" s="442">
        <v>400.27</v>
      </c>
      <c r="I141" s="422">
        <f t="shared" si="4"/>
        <v>1.6695144595063613E-4</v>
      </c>
      <c r="J141" s="423">
        <f t="shared" si="5"/>
        <v>0.99742117637967054</v>
      </c>
      <c r="L141" s="138"/>
      <c r="M141" s="138"/>
    </row>
    <row r="142" spans="2:13" s="109" customFormat="1" ht="14.25" x14ac:dyDescent="0.2">
      <c r="B142" s="441">
        <v>93009</v>
      </c>
      <c r="C142" s="441" t="s">
        <v>31</v>
      </c>
      <c r="D142" s="441" t="s">
        <v>1409</v>
      </c>
      <c r="E142" s="441" t="s">
        <v>35</v>
      </c>
      <c r="F142" s="441">
        <v>14.8</v>
      </c>
      <c r="G142" s="442">
        <v>26.41</v>
      </c>
      <c r="H142" s="442">
        <v>390.96</v>
      </c>
      <c r="I142" s="422">
        <f t="shared" si="4"/>
        <v>1.6306827218842457E-4</v>
      </c>
      <c r="J142" s="423">
        <f t="shared" si="5"/>
        <v>0.99758424465185891</v>
      </c>
      <c r="L142" s="138"/>
      <c r="M142" s="138"/>
    </row>
    <row r="143" spans="2:13" s="109" customFormat="1" ht="14.25" x14ac:dyDescent="0.2">
      <c r="B143" s="441" t="s">
        <v>1000</v>
      </c>
      <c r="C143" s="441" t="s">
        <v>177</v>
      </c>
      <c r="D143" s="441" t="s">
        <v>838</v>
      </c>
      <c r="E143" s="441" t="s">
        <v>227</v>
      </c>
      <c r="F143" s="441">
        <v>820</v>
      </c>
      <c r="G143" s="442">
        <v>0.46</v>
      </c>
      <c r="H143" s="442">
        <v>380.02</v>
      </c>
      <c r="I143" s="422">
        <f t="shared" ref="I143:I171" si="6">H143/$H$172</f>
        <v>1.5850523019502022E-4</v>
      </c>
      <c r="J143" s="423">
        <f t="shared" si="5"/>
        <v>0.99774274988205391</v>
      </c>
      <c r="L143" s="138"/>
      <c r="M143" s="138"/>
    </row>
    <row r="144" spans="2:13" s="109" customFormat="1" ht="14.25" x14ac:dyDescent="0.2">
      <c r="B144" s="441" t="s">
        <v>1251</v>
      </c>
      <c r="C144" s="441" t="s">
        <v>125</v>
      </c>
      <c r="D144" s="441" t="s">
        <v>1252</v>
      </c>
      <c r="E144" s="441" t="s">
        <v>22</v>
      </c>
      <c r="F144" s="441">
        <v>30</v>
      </c>
      <c r="G144" s="442">
        <v>12.31</v>
      </c>
      <c r="H144" s="442">
        <v>369.53</v>
      </c>
      <c r="I144" s="422">
        <f t="shared" si="6"/>
        <v>1.5412988188507397E-4</v>
      </c>
      <c r="J144" s="423">
        <f t="shared" si="5"/>
        <v>0.99789687976393904</v>
      </c>
      <c r="L144" s="138"/>
      <c r="M144" s="138"/>
    </row>
    <row r="145" spans="2:13" s="109" customFormat="1" ht="14.25" x14ac:dyDescent="0.2">
      <c r="B145" s="441" t="s">
        <v>1009</v>
      </c>
      <c r="C145" s="441" t="s">
        <v>125</v>
      </c>
      <c r="D145" s="441" t="s">
        <v>1010</v>
      </c>
      <c r="E145" s="441" t="s">
        <v>22</v>
      </c>
      <c r="F145" s="441">
        <v>64</v>
      </c>
      <c r="G145" s="442">
        <v>5.39</v>
      </c>
      <c r="H145" s="442">
        <v>345</v>
      </c>
      <c r="I145" s="422">
        <f t="shared" si="6"/>
        <v>1.4389849065123408E-4</v>
      </c>
      <c r="J145" s="423">
        <f t="shared" si="5"/>
        <v>0.99804077825459026</v>
      </c>
      <c r="L145" s="138"/>
      <c r="M145" s="138"/>
    </row>
    <row r="146" spans="2:13" s="109" customFormat="1" ht="14.25" x14ac:dyDescent="0.2">
      <c r="B146" s="441" t="s">
        <v>931</v>
      </c>
      <c r="C146" s="441" t="s">
        <v>875</v>
      </c>
      <c r="D146" s="441" t="s">
        <v>932</v>
      </c>
      <c r="E146" s="441" t="s">
        <v>227</v>
      </c>
      <c r="F146" s="441">
        <v>3</v>
      </c>
      <c r="G146" s="442">
        <v>112.95</v>
      </c>
      <c r="H146" s="442">
        <v>338.87</v>
      </c>
      <c r="I146" s="422">
        <f t="shared" si="6"/>
        <v>1.4134168558545997E-4</v>
      </c>
      <c r="J146" s="423">
        <f t="shared" si="5"/>
        <v>0.99818211994017569</v>
      </c>
      <c r="L146" s="138"/>
      <c r="M146" s="138"/>
    </row>
    <row r="147" spans="2:13" s="109" customFormat="1" ht="14.25" x14ac:dyDescent="0.2">
      <c r="B147" s="441" t="s">
        <v>867</v>
      </c>
      <c r="C147" s="441" t="s">
        <v>31</v>
      </c>
      <c r="D147" s="441" t="s">
        <v>868</v>
      </c>
      <c r="E147" s="441" t="s">
        <v>22</v>
      </c>
      <c r="F147" s="441">
        <v>31</v>
      </c>
      <c r="G147" s="442">
        <v>10.5</v>
      </c>
      <c r="H147" s="442">
        <v>325.52</v>
      </c>
      <c r="I147" s="422">
        <f t="shared" si="6"/>
        <v>1.3577343964286874E-4</v>
      </c>
      <c r="J147" s="423">
        <f t="shared" si="5"/>
        <v>0.99831789337981858</v>
      </c>
      <c r="L147" s="138"/>
      <c r="M147" s="138"/>
    </row>
    <row r="148" spans="2:13" s="109" customFormat="1" ht="14.25" x14ac:dyDescent="0.2">
      <c r="B148" s="441" t="s">
        <v>761</v>
      </c>
      <c r="C148" s="441" t="s">
        <v>31</v>
      </c>
      <c r="D148" s="441" t="s">
        <v>762</v>
      </c>
      <c r="E148" s="441" t="s">
        <v>22</v>
      </c>
      <c r="F148" s="441">
        <v>5</v>
      </c>
      <c r="G148" s="442">
        <v>62.07</v>
      </c>
      <c r="H148" s="442">
        <v>310.38</v>
      </c>
      <c r="I148" s="422">
        <f t="shared" si="6"/>
        <v>1.294585899371885E-4</v>
      </c>
      <c r="J148" s="423">
        <f t="shared" si="5"/>
        <v>0.99844735196975576</v>
      </c>
      <c r="L148" s="138"/>
      <c r="M148" s="138"/>
    </row>
    <row r="149" spans="2:13" s="109" customFormat="1" ht="14.25" x14ac:dyDescent="0.2">
      <c r="B149" s="441" t="s">
        <v>1340</v>
      </c>
      <c r="C149" s="441" t="s">
        <v>31</v>
      </c>
      <c r="D149" s="441" t="s">
        <v>1341</v>
      </c>
      <c r="E149" s="441" t="s">
        <v>22</v>
      </c>
      <c r="F149" s="441">
        <v>244</v>
      </c>
      <c r="G149" s="442">
        <v>1.25</v>
      </c>
      <c r="H149" s="442">
        <v>306.5</v>
      </c>
      <c r="I149" s="422">
        <f t="shared" si="6"/>
        <v>1.2784025328870506E-4</v>
      </c>
      <c r="J149" s="423">
        <f t="shared" si="5"/>
        <v>0.99857519222304447</v>
      </c>
      <c r="L149" s="138"/>
      <c r="M149" s="138"/>
    </row>
    <row r="150" spans="2:13" s="109" customFormat="1" ht="14.25" x14ac:dyDescent="0.2">
      <c r="B150" s="441" t="s">
        <v>1297</v>
      </c>
      <c r="C150" s="441" t="s">
        <v>125</v>
      </c>
      <c r="D150" s="441" t="s">
        <v>1298</v>
      </c>
      <c r="E150" s="441" t="s">
        <v>22</v>
      </c>
      <c r="F150" s="441">
        <v>1</v>
      </c>
      <c r="G150" s="442">
        <v>284.69</v>
      </c>
      <c r="H150" s="442">
        <v>284.69</v>
      </c>
      <c r="I150" s="422">
        <f t="shared" si="6"/>
        <v>1.1874336609710096E-4</v>
      </c>
      <c r="J150" s="423">
        <f t="shared" si="5"/>
        <v>0.99869393558914155</v>
      </c>
      <c r="L150" s="138"/>
      <c r="M150" s="138"/>
    </row>
    <row r="151" spans="2:13" s="109" customFormat="1" ht="14.25" x14ac:dyDescent="0.2">
      <c r="B151" s="441" t="s">
        <v>927</v>
      </c>
      <c r="C151" s="441" t="s">
        <v>875</v>
      </c>
      <c r="D151" s="441" t="s">
        <v>928</v>
      </c>
      <c r="E151" s="441" t="s">
        <v>227</v>
      </c>
      <c r="F151" s="441">
        <v>2</v>
      </c>
      <c r="G151" s="442">
        <v>140.71</v>
      </c>
      <c r="H151" s="442">
        <v>281.43</v>
      </c>
      <c r="I151" s="422">
        <f t="shared" si="6"/>
        <v>1.1738362963471539E-4</v>
      </c>
      <c r="J151" s="423">
        <f t="shared" si="5"/>
        <v>0.99881131921877631</v>
      </c>
      <c r="L151" s="138"/>
      <c r="M151" s="138"/>
    </row>
    <row r="152" spans="2:13" s="109" customFormat="1" ht="14.25" x14ac:dyDescent="0.2">
      <c r="B152" s="441">
        <v>9524</v>
      </c>
      <c r="C152" s="441" t="s">
        <v>177</v>
      </c>
      <c r="D152" s="441" t="s">
        <v>1248</v>
      </c>
      <c r="E152" s="441" t="s">
        <v>227</v>
      </c>
      <c r="F152" s="441">
        <v>49</v>
      </c>
      <c r="G152" s="442">
        <v>5.73</v>
      </c>
      <c r="H152" s="442">
        <v>280.87</v>
      </c>
      <c r="I152" s="422">
        <f t="shared" si="6"/>
        <v>1.171500552730786E-4</v>
      </c>
      <c r="J152" s="423">
        <f t="shared" si="5"/>
        <v>0.99892846927404944</v>
      </c>
      <c r="L152" s="138"/>
      <c r="M152" s="138"/>
    </row>
    <row r="153" spans="2:13" s="109" customFormat="1" ht="14.25" x14ac:dyDescent="0.2">
      <c r="B153" s="441" t="s">
        <v>1041</v>
      </c>
      <c r="C153" s="441" t="s">
        <v>125</v>
      </c>
      <c r="D153" s="441" t="s">
        <v>1042</v>
      </c>
      <c r="E153" s="441" t="s">
        <v>22</v>
      </c>
      <c r="F153" s="441">
        <v>2</v>
      </c>
      <c r="G153" s="442">
        <v>139.43</v>
      </c>
      <c r="H153" s="442">
        <v>278.87</v>
      </c>
      <c r="I153" s="422">
        <f t="shared" si="6"/>
        <v>1.1631586112437579E-4</v>
      </c>
      <c r="J153" s="423">
        <f t="shared" si="5"/>
        <v>0.99904478513517381</v>
      </c>
      <c r="L153" s="138"/>
      <c r="M153" s="138"/>
    </row>
    <row r="154" spans="2:13" s="109" customFormat="1" ht="14.25" x14ac:dyDescent="0.2">
      <c r="B154" s="441" t="s">
        <v>993</v>
      </c>
      <c r="C154" s="441" t="s">
        <v>214</v>
      </c>
      <c r="D154" s="441" t="s">
        <v>994</v>
      </c>
      <c r="E154" s="441" t="s">
        <v>22</v>
      </c>
      <c r="F154" s="441">
        <v>6</v>
      </c>
      <c r="G154" s="442">
        <v>45.29</v>
      </c>
      <c r="H154" s="442">
        <v>271.77</v>
      </c>
      <c r="I154" s="422">
        <f t="shared" si="6"/>
        <v>1.1335447189648082E-4</v>
      </c>
      <c r="J154" s="423">
        <f t="shared" si="5"/>
        <v>0.99915813960707034</v>
      </c>
      <c r="L154" s="138"/>
      <c r="M154" s="138"/>
    </row>
    <row r="155" spans="2:13" s="109" customFormat="1" ht="14.25" x14ac:dyDescent="0.2">
      <c r="B155" s="441" t="s">
        <v>783</v>
      </c>
      <c r="C155" s="441" t="s">
        <v>214</v>
      </c>
      <c r="D155" s="441" t="s">
        <v>784</v>
      </c>
      <c r="E155" s="441" t="s">
        <v>22</v>
      </c>
      <c r="F155" s="441">
        <v>2</v>
      </c>
      <c r="G155" s="442">
        <v>120.97</v>
      </c>
      <c r="H155" s="442">
        <v>241.94</v>
      </c>
      <c r="I155" s="422">
        <f t="shared" si="6"/>
        <v>1.0091246616857847E-4</v>
      </c>
      <c r="J155" s="423">
        <f t="shared" si="5"/>
        <v>0.99925905207323895</v>
      </c>
      <c r="L155" s="138"/>
      <c r="M155" s="138"/>
    </row>
    <row r="156" spans="2:13" s="109" customFormat="1" ht="14.25" x14ac:dyDescent="0.2">
      <c r="B156" s="441">
        <v>92029</v>
      </c>
      <c r="C156" s="441" t="s">
        <v>31</v>
      </c>
      <c r="D156" s="441" t="s">
        <v>899</v>
      </c>
      <c r="E156" s="441" t="s">
        <v>22</v>
      </c>
      <c r="F156" s="441">
        <v>4</v>
      </c>
      <c r="G156" s="442">
        <v>57.34</v>
      </c>
      <c r="H156" s="442">
        <v>229.38</v>
      </c>
      <c r="I156" s="422">
        <f t="shared" si="6"/>
        <v>9.5673726914724842E-5</v>
      </c>
      <c r="J156" s="423">
        <f t="shared" si="5"/>
        <v>0.99935472580015372</v>
      </c>
      <c r="L156" s="138"/>
      <c r="M156" s="138"/>
    </row>
    <row r="157" spans="2:13" s="109" customFormat="1" ht="14.25" x14ac:dyDescent="0.2">
      <c r="B157" s="441" t="s">
        <v>987</v>
      </c>
      <c r="C157" s="441" t="s">
        <v>214</v>
      </c>
      <c r="D157" s="441" t="s">
        <v>988</v>
      </c>
      <c r="E157" s="441" t="s">
        <v>35</v>
      </c>
      <c r="F157" s="441">
        <v>4</v>
      </c>
      <c r="G157" s="442">
        <v>56.67</v>
      </c>
      <c r="H157" s="442">
        <v>226.69</v>
      </c>
      <c r="I157" s="422">
        <f t="shared" si="6"/>
        <v>9.4551735784719566E-5</v>
      </c>
      <c r="J157" s="423">
        <f t="shared" si="5"/>
        <v>0.99944927753593849</v>
      </c>
      <c r="L157" s="138"/>
      <c r="M157" s="138"/>
    </row>
    <row r="158" spans="2:13" s="109" customFormat="1" ht="14.25" x14ac:dyDescent="0.2">
      <c r="B158" s="441" t="s">
        <v>1249</v>
      </c>
      <c r="C158" s="441" t="s">
        <v>177</v>
      </c>
      <c r="D158" s="441" t="s">
        <v>1242</v>
      </c>
      <c r="E158" s="441" t="s">
        <v>227</v>
      </c>
      <c r="F158" s="441">
        <v>36</v>
      </c>
      <c r="G158" s="442">
        <v>6.23</v>
      </c>
      <c r="H158" s="442">
        <v>224.35</v>
      </c>
      <c r="I158" s="422">
        <f t="shared" si="6"/>
        <v>9.3575728630737286E-5</v>
      </c>
      <c r="J158" s="423">
        <f t="shared" si="5"/>
        <v>0.99954285326456926</v>
      </c>
      <c r="L158" s="138"/>
      <c r="M158" s="138"/>
    </row>
    <row r="159" spans="2:13" s="109" customFormat="1" ht="14.25" x14ac:dyDescent="0.2">
      <c r="B159" s="441" t="s">
        <v>307</v>
      </c>
      <c r="C159" s="441" t="s">
        <v>214</v>
      </c>
      <c r="D159" s="441" t="s">
        <v>308</v>
      </c>
      <c r="E159" s="441" t="s">
        <v>22</v>
      </c>
      <c r="F159" s="441">
        <v>8</v>
      </c>
      <c r="G159" s="442">
        <v>24.51</v>
      </c>
      <c r="H159" s="442">
        <v>196.11</v>
      </c>
      <c r="I159" s="422">
        <f t="shared" si="6"/>
        <v>8.1796907251053676E-5</v>
      </c>
      <c r="J159" s="423">
        <f t="shared" si="5"/>
        <v>0.99962465017182034</v>
      </c>
      <c r="L159" s="138"/>
      <c r="M159" s="138"/>
    </row>
    <row r="160" spans="2:13" s="109" customFormat="1" ht="14.25" x14ac:dyDescent="0.2">
      <c r="B160" s="441" t="s">
        <v>1286</v>
      </c>
      <c r="C160" s="441" t="s">
        <v>31</v>
      </c>
      <c r="D160" s="441" t="s">
        <v>1287</v>
      </c>
      <c r="E160" s="441" t="s">
        <v>22</v>
      </c>
      <c r="F160" s="441">
        <v>5</v>
      </c>
      <c r="G160" s="442">
        <v>35.33</v>
      </c>
      <c r="H160" s="442">
        <v>176.65</v>
      </c>
      <c r="I160" s="422">
        <f t="shared" si="6"/>
        <v>7.3680198184175369E-5</v>
      </c>
      <c r="J160" s="423">
        <f t="shared" si="5"/>
        <v>0.99969833037000455</v>
      </c>
      <c r="L160" s="138"/>
      <c r="M160" s="138"/>
    </row>
    <row r="161" spans="2:13" s="109" customFormat="1" ht="14.25" x14ac:dyDescent="0.2">
      <c r="B161" s="441">
        <v>91969</v>
      </c>
      <c r="C161" s="441" t="s">
        <v>31</v>
      </c>
      <c r="D161" s="441" t="s">
        <v>764</v>
      </c>
      <c r="E161" s="441" t="s">
        <v>22</v>
      </c>
      <c r="F161" s="441">
        <v>2</v>
      </c>
      <c r="G161" s="442">
        <v>82.16</v>
      </c>
      <c r="H161" s="442">
        <v>164.32</v>
      </c>
      <c r="I161" s="422">
        <f t="shared" si="6"/>
        <v>6.8537391257422563E-5</v>
      </c>
      <c r="J161" s="423">
        <f t="shared" si="5"/>
        <v>0.999766867761262</v>
      </c>
      <c r="L161" s="138"/>
      <c r="M161" s="138"/>
    </row>
    <row r="162" spans="2:13" s="109" customFormat="1" ht="14.25" x14ac:dyDescent="0.2">
      <c r="B162" s="441" t="s">
        <v>943</v>
      </c>
      <c r="C162" s="441" t="s">
        <v>875</v>
      </c>
      <c r="D162" s="441" t="s">
        <v>944</v>
      </c>
      <c r="E162" s="441" t="s">
        <v>227</v>
      </c>
      <c r="F162" s="441">
        <v>1</v>
      </c>
      <c r="G162" s="442">
        <v>111.38</v>
      </c>
      <c r="H162" s="442">
        <v>111.38</v>
      </c>
      <c r="I162" s="422">
        <f t="shared" si="6"/>
        <v>4.6456272141259279E-5</v>
      </c>
      <c r="J162" s="423">
        <f t="shared" si="5"/>
        <v>0.99981332403340328</v>
      </c>
      <c r="L162" s="138"/>
      <c r="M162" s="138"/>
    </row>
    <row r="163" spans="2:13" s="109" customFormat="1" ht="14.25" x14ac:dyDescent="0.2">
      <c r="B163" s="441">
        <v>93008</v>
      </c>
      <c r="C163" s="441" t="s">
        <v>31</v>
      </c>
      <c r="D163" s="441" t="s">
        <v>1407</v>
      </c>
      <c r="E163" s="441" t="s">
        <v>35</v>
      </c>
      <c r="F163" s="441">
        <v>6</v>
      </c>
      <c r="G163" s="442">
        <v>17.829999999999998</v>
      </c>
      <c r="H163" s="442">
        <v>106.98</v>
      </c>
      <c r="I163" s="422">
        <f t="shared" si="6"/>
        <v>4.4621045014113109E-5</v>
      </c>
      <c r="J163" s="423">
        <f t="shared" si="5"/>
        <v>0.99985794507841741</v>
      </c>
      <c r="L163" s="138"/>
      <c r="M163" s="138"/>
    </row>
    <row r="164" spans="2:13" s="109" customFormat="1" ht="14.25" x14ac:dyDescent="0.2">
      <c r="B164" s="441" t="s">
        <v>1005</v>
      </c>
      <c r="C164" s="441" t="s">
        <v>125</v>
      </c>
      <c r="D164" s="441" t="s">
        <v>1006</v>
      </c>
      <c r="E164" s="441" t="s">
        <v>847</v>
      </c>
      <c r="F164" s="441">
        <v>120</v>
      </c>
      <c r="G164" s="442">
        <v>0.84</v>
      </c>
      <c r="H164" s="442">
        <v>100.98</v>
      </c>
      <c r="I164" s="422">
        <f t="shared" si="6"/>
        <v>4.2118462568004691E-5</v>
      </c>
      <c r="J164" s="423">
        <f t="shared" ref="J164:J171" si="7">J163+I164</f>
        <v>0.99990006354098537</v>
      </c>
      <c r="L164" s="138"/>
      <c r="M164" s="138"/>
    </row>
    <row r="165" spans="2:13" s="109" customFormat="1" ht="14.25" x14ac:dyDescent="0.2">
      <c r="B165" s="441" t="s">
        <v>902</v>
      </c>
      <c r="C165" s="441" t="s">
        <v>875</v>
      </c>
      <c r="D165" s="441" t="s">
        <v>903</v>
      </c>
      <c r="E165" s="441" t="s">
        <v>227</v>
      </c>
      <c r="F165" s="441">
        <v>3</v>
      </c>
      <c r="G165" s="442">
        <v>19.829999999999998</v>
      </c>
      <c r="H165" s="442">
        <v>59.49</v>
      </c>
      <c r="I165" s="422">
        <f t="shared" si="6"/>
        <v>2.4813104953164972E-5</v>
      </c>
      <c r="J165" s="423">
        <f t="shared" si="7"/>
        <v>0.99992487664593854</v>
      </c>
      <c r="L165" s="138"/>
      <c r="M165" s="138"/>
    </row>
    <row r="166" spans="2:13" s="109" customFormat="1" ht="14.25" x14ac:dyDescent="0.2">
      <c r="B166" s="441" t="s">
        <v>766</v>
      </c>
      <c r="C166" s="441" t="s">
        <v>125</v>
      </c>
      <c r="D166" s="441" t="s">
        <v>455</v>
      </c>
      <c r="E166" s="441" t="s">
        <v>22</v>
      </c>
      <c r="F166" s="441">
        <v>9</v>
      </c>
      <c r="G166" s="442">
        <v>6.45</v>
      </c>
      <c r="H166" s="442">
        <v>58.06</v>
      </c>
      <c r="I166" s="422">
        <f t="shared" si="6"/>
        <v>2.4216656136842466E-5</v>
      </c>
      <c r="J166" s="423">
        <f t="shared" si="7"/>
        <v>0.99994909330207538</v>
      </c>
      <c r="L166" s="138"/>
      <c r="M166" s="138"/>
    </row>
    <row r="167" spans="2:13" s="109" customFormat="1" ht="14.25" x14ac:dyDescent="0.2">
      <c r="B167" s="441">
        <v>68207</v>
      </c>
      <c r="C167" s="441" t="s">
        <v>214</v>
      </c>
      <c r="D167" s="441" t="s">
        <v>751</v>
      </c>
      <c r="E167" s="441" t="s">
        <v>35</v>
      </c>
      <c r="F167" s="441">
        <v>0.3</v>
      </c>
      <c r="G167" s="442">
        <v>133.86000000000001</v>
      </c>
      <c r="H167" s="442">
        <v>40.15</v>
      </c>
      <c r="I167" s="422">
        <f t="shared" si="6"/>
        <v>1.6746447535208835E-5</v>
      </c>
      <c r="J167" s="423">
        <f t="shared" si="7"/>
        <v>0.99996583974961062</v>
      </c>
      <c r="L167" s="138"/>
      <c r="M167" s="138"/>
    </row>
    <row r="168" spans="2:13" s="109" customFormat="1" ht="14.25" x14ac:dyDescent="0.2">
      <c r="B168" s="441" t="s">
        <v>871</v>
      </c>
      <c r="C168" s="441" t="s">
        <v>177</v>
      </c>
      <c r="D168" s="441" t="s">
        <v>872</v>
      </c>
      <c r="E168" s="441" t="s">
        <v>847</v>
      </c>
      <c r="F168" s="441">
        <v>1</v>
      </c>
      <c r="G168" s="442">
        <v>34.18</v>
      </c>
      <c r="H168" s="442">
        <v>34.18</v>
      </c>
      <c r="I168" s="422">
        <f t="shared" si="6"/>
        <v>1.4256378001330959E-5</v>
      </c>
      <c r="J168" s="423">
        <f t="shared" si="7"/>
        <v>0.99998009612761196</v>
      </c>
      <c r="L168" s="138"/>
      <c r="M168" s="138"/>
    </row>
    <row r="169" spans="2:13" s="109" customFormat="1" ht="14.25" x14ac:dyDescent="0.2">
      <c r="B169" s="441" t="s">
        <v>307</v>
      </c>
      <c r="C169" s="441" t="s">
        <v>214</v>
      </c>
      <c r="D169" s="441" t="s">
        <v>308</v>
      </c>
      <c r="E169" s="441" t="s">
        <v>22</v>
      </c>
      <c r="F169" s="441">
        <v>1</v>
      </c>
      <c r="G169" s="442">
        <v>24.51</v>
      </c>
      <c r="H169" s="442">
        <v>24.51</v>
      </c>
      <c r="I169" s="422">
        <f t="shared" si="6"/>
        <v>1.0223049292352891E-5</v>
      </c>
      <c r="J169" s="423">
        <f t="shared" si="7"/>
        <v>0.99999031917690429</v>
      </c>
      <c r="L169" s="138"/>
      <c r="M169" s="138"/>
    </row>
    <row r="170" spans="2:13" s="109" customFormat="1" ht="14.25" x14ac:dyDescent="0.2">
      <c r="B170" s="441" t="s">
        <v>1024</v>
      </c>
      <c r="C170" s="441" t="s">
        <v>905</v>
      </c>
      <c r="D170" s="441" t="s">
        <v>1025</v>
      </c>
      <c r="E170" s="441" t="s">
        <v>847</v>
      </c>
      <c r="F170" s="441">
        <v>4</v>
      </c>
      <c r="G170" s="442">
        <v>3.84</v>
      </c>
      <c r="H170" s="442">
        <v>15.36</v>
      </c>
      <c r="I170" s="422">
        <f t="shared" si="6"/>
        <v>6.4066110620375518E-6</v>
      </c>
      <c r="J170" s="423">
        <f t="shared" si="7"/>
        <v>0.99999672578796628</v>
      </c>
      <c r="L170" s="138"/>
      <c r="M170" s="138"/>
    </row>
    <row r="171" spans="2:13" s="109" customFormat="1" ht="14.25" x14ac:dyDescent="0.2">
      <c r="B171" s="441">
        <v>11819</v>
      </c>
      <c r="C171" s="441" t="s">
        <v>177</v>
      </c>
      <c r="D171" s="441" t="s">
        <v>963</v>
      </c>
      <c r="E171" s="441" t="s">
        <v>227</v>
      </c>
      <c r="F171" s="441">
        <v>1</v>
      </c>
      <c r="G171" s="442">
        <v>7.85</v>
      </c>
      <c r="H171" s="442">
        <v>7.85</v>
      </c>
      <c r="I171" s="422">
        <f t="shared" si="6"/>
        <v>3.2742120336585142E-6</v>
      </c>
      <c r="J171" s="423">
        <f t="shared" si="7"/>
        <v>0.99999999999999989</v>
      </c>
      <c r="L171" s="138"/>
      <c r="M171" s="138"/>
    </row>
    <row r="172" spans="2:13" s="139" customFormat="1" ht="24.95" customHeight="1" thickBot="1" x14ac:dyDescent="0.3">
      <c r="B172" s="570" t="s">
        <v>253</v>
      </c>
      <c r="C172" s="571"/>
      <c r="D172" s="571"/>
      <c r="E172" s="571"/>
      <c r="F172" s="571"/>
      <c r="G172" s="572"/>
      <c r="H172" s="419">
        <f>SUM(H15:H171)</f>
        <v>2397523.4100000011</v>
      </c>
      <c r="I172" s="420"/>
      <c r="J172" s="421"/>
    </row>
  </sheetData>
  <autoFilter ref="B13:J14"/>
  <sortState ref="B15:H216">
    <sortCondition descending="1" ref="H15:H216"/>
  </sortState>
  <mergeCells count="12">
    <mergeCell ref="B1:J6"/>
    <mergeCell ref="J13:J14"/>
    <mergeCell ref="B172:G172"/>
    <mergeCell ref="I13:I14"/>
    <mergeCell ref="B13:B14"/>
    <mergeCell ref="C13:C14"/>
    <mergeCell ref="D13:D14"/>
    <mergeCell ref="E13:E14"/>
    <mergeCell ref="F13:F14"/>
    <mergeCell ref="G13:G14"/>
    <mergeCell ref="H13:H14"/>
    <mergeCell ref="C11:G11"/>
  </mergeCells>
  <printOptions horizontalCentered="1"/>
  <pageMargins left="0.51181102362204722" right="0.51181102362204722" top="0.78740157480314965" bottom="0.98425196850393704" header="0.31496062992125984" footer="0.31496062992125984"/>
  <pageSetup paperSize="9" scale="51" fitToWidth="0" fitToHeight="0" orientation="landscape" r:id="rId1"/>
  <headerFooter>
    <oddFooter>&amp;L&amp;"Arial Narrow,Normal"&amp;10&amp;A
&amp;F&amp;C&amp;"Arial Narrow,Negrito"&amp;10ENG. CIVIL THIAGO ALVES SILVA&amp;"Arial Narrow,Normal"
CREA 1004804750/D-GO&amp;R&amp;"Arial Narrow,Normal"&amp;10Página &amp;P de &amp;N</oddFooter>
  </headerFooter>
  <rowBreaks count="1" manualBreakCount="1">
    <brk id="81" max="9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>
    <tabColor theme="6"/>
  </sheetPr>
  <dimension ref="A1:AU74"/>
  <sheetViews>
    <sheetView showGridLines="0" view="pageBreakPreview" topLeftCell="A16" zoomScaleNormal="100" zoomScaleSheetLayoutView="100" workbookViewId="0">
      <selection activeCell="D11" sqref="D11:S11"/>
    </sheetView>
  </sheetViews>
  <sheetFormatPr defaultColWidth="3.5703125" defaultRowHeight="12.75" x14ac:dyDescent="0.25"/>
  <cols>
    <col min="1" max="1" width="1.5703125" style="262" customWidth="1"/>
    <col min="2" max="2" width="5.42578125" style="262" customWidth="1"/>
    <col min="3" max="3" width="2.5703125" style="262" customWidth="1"/>
    <col min="4" max="5" width="5.42578125" style="262" customWidth="1"/>
    <col min="6" max="6" width="10.42578125" style="262" customWidth="1"/>
    <col min="7" max="14" width="6.5703125" style="262" customWidth="1"/>
    <col min="15" max="15" width="4.42578125" style="262" customWidth="1"/>
    <col min="16" max="22" width="5.5703125" style="262" customWidth="1"/>
    <col min="23" max="24" width="4.42578125" style="262" customWidth="1"/>
    <col min="25" max="25" width="8.42578125" style="262" customWidth="1"/>
    <col min="26" max="26" width="1.5703125" style="295" customWidth="1"/>
    <col min="27" max="27" width="3.5703125" style="262" customWidth="1"/>
    <col min="28" max="28" width="19.42578125" style="265" customWidth="1"/>
    <col min="29" max="29" width="8.5703125" style="265" customWidth="1"/>
    <col min="30" max="31" width="9.140625" style="265" customWidth="1"/>
    <col min="32" max="32" width="3.5703125" style="265"/>
    <col min="33" max="33" width="10.85546875" style="265" hidden="1" customWidth="1"/>
    <col min="34" max="34" width="7" style="265" hidden="1" customWidth="1"/>
    <col min="35" max="36" width="3.5703125" style="265"/>
    <col min="37" max="41" width="3.5703125" style="262"/>
    <col min="42" max="42" width="5.5703125" style="262" bestFit="1" customWidth="1"/>
    <col min="43" max="44" width="3.5703125" style="262"/>
    <col min="45" max="45" width="6.5703125" style="262" bestFit="1" customWidth="1"/>
    <col min="46" max="46" width="3.5703125" style="262"/>
    <col min="47" max="47" width="5.5703125" style="262" bestFit="1" customWidth="1"/>
    <col min="48" max="259" width="3.5703125" style="262"/>
    <col min="260" max="260" width="11.42578125" style="262" customWidth="1"/>
    <col min="261" max="261" width="1.85546875" style="262" customWidth="1"/>
    <col min="262" max="265" width="5.42578125" style="262" customWidth="1"/>
    <col min="266" max="266" width="10.42578125" style="262" customWidth="1"/>
    <col min="267" max="267" width="7.85546875" style="262" customWidth="1"/>
    <col min="268" max="268" width="8.85546875" style="262" customWidth="1"/>
    <col min="269" max="269" width="8.42578125" style="262" customWidth="1"/>
    <col min="270" max="270" width="4.42578125" style="262" customWidth="1"/>
    <col min="271" max="272" width="4.140625" style="262" customWidth="1"/>
    <col min="273" max="273" width="6.85546875" style="262" customWidth="1"/>
    <col min="274" max="274" width="4.140625" style="262" customWidth="1"/>
    <col min="275" max="280" width="4.42578125" style="262" customWidth="1"/>
    <col min="281" max="281" width="7" style="262" customWidth="1"/>
    <col min="282" max="282" width="0" style="262" hidden="1" customWidth="1"/>
    <col min="283" max="286" width="3.5703125" style="262" customWidth="1"/>
    <col min="287" max="288" width="3.5703125" style="262"/>
    <col min="289" max="290" width="0" style="262" hidden="1" customWidth="1"/>
    <col min="291" max="297" width="3.5703125" style="262"/>
    <col min="298" max="298" width="5.5703125" style="262" bestFit="1" customWidth="1"/>
    <col min="299" max="300" width="3.5703125" style="262"/>
    <col min="301" max="301" width="6.5703125" style="262" bestFit="1" customWidth="1"/>
    <col min="302" max="302" width="3.5703125" style="262"/>
    <col min="303" max="303" width="5.5703125" style="262" bestFit="1" customWidth="1"/>
    <col min="304" max="515" width="3.5703125" style="262"/>
    <col min="516" max="516" width="11.42578125" style="262" customWidth="1"/>
    <col min="517" max="517" width="1.85546875" style="262" customWidth="1"/>
    <col min="518" max="521" width="5.42578125" style="262" customWidth="1"/>
    <col min="522" max="522" width="10.42578125" style="262" customWidth="1"/>
    <col min="523" max="523" width="7.85546875" style="262" customWidth="1"/>
    <col min="524" max="524" width="8.85546875" style="262" customWidth="1"/>
    <col min="525" max="525" width="8.42578125" style="262" customWidth="1"/>
    <col min="526" max="526" width="4.42578125" style="262" customWidth="1"/>
    <col min="527" max="528" width="4.140625" style="262" customWidth="1"/>
    <col min="529" max="529" width="6.85546875" style="262" customWidth="1"/>
    <col min="530" max="530" width="4.140625" style="262" customWidth="1"/>
    <col min="531" max="536" width="4.42578125" style="262" customWidth="1"/>
    <col min="537" max="537" width="7" style="262" customWidth="1"/>
    <col min="538" max="538" width="0" style="262" hidden="1" customWidth="1"/>
    <col min="539" max="542" width="3.5703125" style="262" customWidth="1"/>
    <col min="543" max="544" width="3.5703125" style="262"/>
    <col min="545" max="546" width="0" style="262" hidden="1" customWidth="1"/>
    <col min="547" max="553" width="3.5703125" style="262"/>
    <col min="554" max="554" width="5.5703125" style="262" bestFit="1" customWidth="1"/>
    <col min="555" max="556" width="3.5703125" style="262"/>
    <col min="557" max="557" width="6.5703125" style="262" bestFit="1" customWidth="1"/>
    <col min="558" max="558" width="3.5703125" style="262"/>
    <col min="559" max="559" width="5.5703125" style="262" bestFit="1" customWidth="1"/>
    <col min="560" max="771" width="3.5703125" style="262"/>
    <col min="772" max="772" width="11.42578125" style="262" customWidth="1"/>
    <col min="773" max="773" width="1.85546875" style="262" customWidth="1"/>
    <col min="774" max="777" width="5.42578125" style="262" customWidth="1"/>
    <col min="778" max="778" width="10.42578125" style="262" customWidth="1"/>
    <col min="779" max="779" width="7.85546875" style="262" customWidth="1"/>
    <col min="780" max="780" width="8.85546875" style="262" customWidth="1"/>
    <col min="781" max="781" width="8.42578125" style="262" customWidth="1"/>
    <col min="782" max="782" width="4.42578125" style="262" customWidth="1"/>
    <col min="783" max="784" width="4.140625" style="262" customWidth="1"/>
    <col min="785" max="785" width="6.85546875" style="262" customWidth="1"/>
    <col min="786" max="786" width="4.140625" style="262" customWidth="1"/>
    <col min="787" max="792" width="4.42578125" style="262" customWidth="1"/>
    <col min="793" max="793" width="7" style="262" customWidth="1"/>
    <col min="794" max="794" width="0" style="262" hidden="1" customWidth="1"/>
    <col min="795" max="798" width="3.5703125" style="262" customWidth="1"/>
    <col min="799" max="800" width="3.5703125" style="262"/>
    <col min="801" max="802" width="0" style="262" hidden="1" customWidth="1"/>
    <col min="803" max="809" width="3.5703125" style="262"/>
    <col min="810" max="810" width="5.5703125" style="262" bestFit="1" customWidth="1"/>
    <col min="811" max="812" width="3.5703125" style="262"/>
    <col min="813" max="813" width="6.5703125" style="262" bestFit="1" customWidth="1"/>
    <col min="814" max="814" width="3.5703125" style="262"/>
    <col min="815" max="815" width="5.5703125" style="262" bestFit="1" customWidth="1"/>
    <col min="816" max="1027" width="3.5703125" style="262"/>
    <col min="1028" max="1028" width="11.42578125" style="262" customWidth="1"/>
    <col min="1029" max="1029" width="1.85546875" style="262" customWidth="1"/>
    <col min="1030" max="1033" width="5.42578125" style="262" customWidth="1"/>
    <col min="1034" max="1034" width="10.42578125" style="262" customWidth="1"/>
    <col min="1035" max="1035" width="7.85546875" style="262" customWidth="1"/>
    <col min="1036" max="1036" width="8.85546875" style="262" customWidth="1"/>
    <col min="1037" max="1037" width="8.42578125" style="262" customWidth="1"/>
    <col min="1038" max="1038" width="4.42578125" style="262" customWidth="1"/>
    <col min="1039" max="1040" width="4.140625" style="262" customWidth="1"/>
    <col min="1041" max="1041" width="6.85546875" style="262" customWidth="1"/>
    <col min="1042" max="1042" width="4.140625" style="262" customWidth="1"/>
    <col min="1043" max="1048" width="4.42578125" style="262" customWidth="1"/>
    <col min="1049" max="1049" width="7" style="262" customWidth="1"/>
    <col min="1050" max="1050" width="0" style="262" hidden="1" customWidth="1"/>
    <col min="1051" max="1054" width="3.5703125" style="262" customWidth="1"/>
    <col min="1055" max="1056" width="3.5703125" style="262"/>
    <col min="1057" max="1058" width="0" style="262" hidden="1" customWidth="1"/>
    <col min="1059" max="1065" width="3.5703125" style="262"/>
    <col min="1066" max="1066" width="5.5703125" style="262" bestFit="1" customWidth="1"/>
    <col min="1067" max="1068" width="3.5703125" style="262"/>
    <col min="1069" max="1069" width="6.5703125" style="262" bestFit="1" customWidth="1"/>
    <col min="1070" max="1070" width="3.5703125" style="262"/>
    <col min="1071" max="1071" width="5.5703125" style="262" bestFit="1" customWidth="1"/>
    <col min="1072" max="1283" width="3.5703125" style="262"/>
    <col min="1284" max="1284" width="11.42578125" style="262" customWidth="1"/>
    <col min="1285" max="1285" width="1.85546875" style="262" customWidth="1"/>
    <col min="1286" max="1289" width="5.42578125" style="262" customWidth="1"/>
    <col min="1290" max="1290" width="10.42578125" style="262" customWidth="1"/>
    <col min="1291" max="1291" width="7.85546875" style="262" customWidth="1"/>
    <col min="1292" max="1292" width="8.85546875" style="262" customWidth="1"/>
    <col min="1293" max="1293" width="8.42578125" style="262" customWidth="1"/>
    <col min="1294" max="1294" width="4.42578125" style="262" customWidth="1"/>
    <col min="1295" max="1296" width="4.140625" style="262" customWidth="1"/>
    <col min="1297" max="1297" width="6.85546875" style="262" customWidth="1"/>
    <col min="1298" max="1298" width="4.140625" style="262" customWidth="1"/>
    <col min="1299" max="1304" width="4.42578125" style="262" customWidth="1"/>
    <col min="1305" max="1305" width="7" style="262" customWidth="1"/>
    <col min="1306" max="1306" width="0" style="262" hidden="1" customWidth="1"/>
    <col min="1307" max="1310" width="3.5703125" style="262" customWidth="1"/>
    <col min="1311" max="1312" width="3.5703125" style="262"/>
    <col min="1313" max="1314" width="0" style="262" hidden="1" customWidth="1"/>
    <col min="1315" max="1321" width="3.5703125" style="262"/>
    <col min="1322" max="1322" width="5.5703125" style="262" bestFit="1" customWidth="1"/>
    <col min="1323" max="1324" width="3.5703125" style="262"/>
    <col min="1325" max="1325" width="6.5703125" style="262" bestFit="1" customWidth="1"/>
    <col min="1326" max="1326" width="3.5703125" style="262"/>
    <col min="1327" max="1327" width="5.5703125" style="262" bestFit="1" customWidth="1"/>
    <col min="1328" max="1539" width="3.5703125" style="262"/>
    <col min="1540" max="1540" width="11.42578125" style="262" customWidth="1"/>
    <col min="1541" max="1541" width="1.85546875" style="262" customWidth="1"/>
    <col min="1542" max="1545" width="5.42578125" style="262" customWidth="1"/>
    <col min="1546" max="1546" width="10.42578125" style="262" customWidth="1"/>
    <col min="1547" max="1547" width="7.85546875" style="262" customWidth="1"/>
    <col min="1548" max="1548" width="8.85546875" style="262" customWidth="1"/>
    <col min="1549" max="1549" width="8.42578125" style="262" customWidth="1"/>
    <col min="1550" max="1550" width="4.42578125" style="262" customWidth="1"/>
    <col min="1551" max="1552" width="4.140625" style="262" customWidth="1"/>
    <col min="1553" max="1553" width="6.85546875" style="262" customWidth="1"/>
    <col min="1554" max="1554" width="4.140625" style="262" customWidth="1"/>
    <col min="1555" max="1560" width="4.42578125" style="262" customWidth="1"/>
    <col min="1561" max="1561" width="7" style="262" customWidth="1"/>
    <col min="1562" max="1562" width="0" style="262" hidden="1" customWidth="1"/>
    <col min="1563" max="1566" width="3.5703125" style="262" customWidth="1"/>
    <col min="1567" max="1568" width="3.5703125" style="262"/>
    <col min="1569" max="1570" width="0" style="262" hidden="1" customWidth="1"/>
    <col min="1571" max="1577" width="3.5703125" style="262"/>
    <col min="1578" max="1578" width="5.5703125" style="262" bestFit="1" customWidth="1"/>
    <col min="1579" max="1580" width="3.5703125" style="262"/>
    <col min="1581" max="1581" width="6.5703125" style="262" bestFit="1" customWidth="1"/>
    <col min="1582" max="1582" width="3.5703125" style="262"/>
    <col min="1583" max="1583" width="5.5703125" style="262" bestFit="1" customWidth="1"/>
    <col min="1584" max="1795" width="3.5703125" style="262"/>
    <col min="1796" max="1796" width="11.42578125" style="262" customWidth="1"/>
    <col min="1797" max="1797" width="1.85546875" style="262" customWidth="1"/>
    <col min="1798" max="1801" width="5.42578125" style="262" customWidth="1"/>
    <col min="1802" max="1802" width="10.42578125" style="262" customWidth="1"/>
    <col min="1803" max="1803" width="7.85546875" style="262" customWidth="1"/>
    <col min="1804" max="1804" width="8.85546875" style="262" customWidth="1"/>
    <col min="1805" max="1805" width="8.42578125" style="262" customWidth="1"/>
    <col min="1806" max="1806" width="4.42578125" style="262" customWidth="1"/>
    <col min="1807" max="1808" width="4.140625" style="262" customWidth="1"/>
    <col min="1809" max="1809" width="6.85546875" style="262" customWidth="1"/>
    <col min="1810" max="1810" width="4.140625" style="262" customWidth="1"/>
    <col min="1811" max="1816" width="4.42578125" style="262" customWidth="1"/>
    <col min="1817" max="1817" width="7" style="262" customWidth="1"/>
    <col min="1818" max="1818" width="0" style="262" hidden="1" customWidth="1"/>
    <col min="1819" max="1822" width="3.5703125" style="262" customWidth="1"/>
    <col min="1823" max="1824" width="3.5703125" style="262"/>
    <col min="1825" max="1826" width="0" style="262" hidden="1" customWidth="1"/>
    <col min="1827" max="1833" width="3.5703125" style="262"/>
    <col min="1834" max="1834" width="5.5703125" style="262" bestFit="1" customWidth="1"/>
    <col min="1835" max="1836" width="3.5703125" style="262"/>
    <col min="1837" max="1837" width="6.5703125" style="262" bestFit="1" customWidth="1"/>
    <col min="1838" max="1838" width="3.5703125" style="262"/>
    <col min="1839" max="1839" width="5.5703125" style="262" bestFit="1" customWidth="1"/>
    <col min="1840" max="2051" width="3.5703125" style="262"/>
    <col min="2052" max="2052" width="11.42578125" style="262" customWidth="1"/>
    <col min="2053" max="2053" width="1.85546875" style="262" customWidth="1"/>
    <col min="2054" max="2057" width="5.42578125" style="262" customWidth="1"/>
    <col min="2058" max="2058" width="10.42578125" style="262" customWidth="1"/>
    <col min="2059" max="2059" width="7.85546875" style="262" customWidth="1"/>
    <col min="2060" max="2060" width="8.85546875" style="262" customWidth="1"/>
    <col min="2061" max="2061" width="8.42578125" style="262" customWidth="1"/>
    <col min="2062" max="2062" width="4.42578125" style="262" customWidth="1"/>
    <col min="2063" max="2064" width="4.140625" style="262" customWidth="1"/>
    <col min="2065" max="2065" width="6.85546875" style="262" customWidth="1"/>
    <col min="2066" max="2066" width="4.140625" style="262" customWidth="1"/>
    <col min="2067" max="2072" width="4.42578125" style="262" customWidth="1"/>
    <col min="2073" max="2073" width="7" style="262" customWidth="1"/>
    <col min="2074" max="2074" width="0" style="262" hidden="1" customWidth="1"/>
    <col min="2075" max="2078" width="3.5703125" style="262" customWidth="1"/>
    <col min="2079" max="2080" width="3.5703125" style="262"/>
    <col min="2081" max="2082" width="0" style="262" hidden="1" customWidth="1"/>
    <col min="2083" max="2089" width="3.5703125" style="262"/>
    <col min="2090" max="2090" width="5.5703125" style="262" bestFit="1" customWidth="1"/>
    <col min="2091" max="2092" width="3.5703125" style="262"/>
    <col min="2093" max="2093" width="6.5703125" style="262" bestFit="1" customWidth="1"/>
    <col min="2094" max="2094" width="3.5703125" style="262"/>
    <col min="2095" max="2095" width="5.5703125" style="262" bestFit="1" customWidth="1"/>
    <col min="2096" max="2307" width="3.5703125" style="262"/>
    <col min="2308" max="2308" width="11.42578125" style="262" customWidth="1"/>
    <col min="2309" max="2309" width="1.85546875" style="262" customWidth="1"/>
    <col min="2310" max="2313" width="5.42578125" style="262" customWidth="1"/>
    <col min="2314" max="2314" width="10.42578125" style="262" customWidth="1"/>
    <col min="2315" max="2315" width="7.85546875" style="262" customWidth="1"/>
    <col min="2316" max="2316" width="8.85546875" style="262" customWidth="1"/>
    <col min="2317" max="2317" width="8.42578125" style="262" customWidth="1"/>
    <col min="2318" max="2318" width="4.42578125" style="262" customWidth="1"/>
    <col min="2319" max="2320" width="4.140625" style="262" customWidth="1"/>
    <col min="2321" max="2321" width="6.85546875" style="262" customWidth="1"/>
    <col min="2322" max="2322" width="4.140625" style="262" customWidth="1"/>
    <col min="2323" max="2328" width="4.42578125" style="262" customWidth="1"/>
    <col min="2329" max="2329" width="7" style="262" customWidth="1"/>
    <col min="2330" max="2330" width="0" style="262" hidden="1" customWidth="1"/>
    <col min="2331" max="2334" width="3.5703125" style="262" customWidth="1"/>
    <col min="2335" max="2336" width="3.5703125" style="262"/>
    <col min="2337" max="2338" width="0" style="262" hidden="1" customWidth="1"/>
    <col min="2339" max="2345" width="3.5703125" style="262"/>
    <col min="2346" max="2346" width="5.5703125" style="262" bestFit="1" customWidth="1"/>
    <col min="2347" max="2348" width="3.5703125" style="262"/>
    <col min="2349" max="2349" width="6.5703125" style="262" bestFit="1" customWidth="1"/>
    <col min="2350" max="2350" width="3.5703125" style="262"/>
    <col min="2351" max="2351" width="5.5703125" style="262" bestFit="1" customWidth="1"/>
    <col min="2352" max="2563" width="3.5703125" style="262"/>
    <col min="2564" max="2564" width="11.42578125" style="262" customWidth="1"/>
    <col min="2565" max="2565" width="1.85546875" style="262" customWidth="1"/>
    <col min="2566" max="2569" width="5.42578125" style="262" customWidth="1"/>
    <col min="2570" max="2570" width="10.42578125" style="262" customWidth="1"/>
    <col min="2571" max="2571" width="7.85546875" style="262" customWidth="1"/>
    <col min="2572" max="2572" width="8.85546875" style="262" customWidth="1"/>
    <col min="2573" max="2573" width="8.42578125" style="262" customWidth="1"/>
    <col min="2574" max="2574" width="4.42578125" style="262" customWidth="1"/>
    <col min="2575" max="2576" width="4.140625" style="262" customWidth="1"/>
    <col min="2577" max="2577" width="6.85546875" style="262" customWidth="1"/>
    <col min="2578" max="2578" width="4.140625" style="262" customWidth="1"/>
    <col min="2579" max="2584" width="4.42578125" style="262" customWidth="1"/>
    <col min="2585" max="2585" width="7" style="262" customWidth="1"/>
    <col min="2586" max="2586" width="0" style="262" hidden="1" customWidth="1"/>
    <col min="2587" max="2590" width="3.5703125" style="262" customWidth="1"/>
    <col min="2591" max="2592" width="3.5703125" style="262"/>
    <col min="2593" max="2594" width="0" style="262" hidden="1" customWidth="1"/>
    <col min="2595" max="2601" width="3.5703125" style="262"/>
    <col min="2602" max="2602" width="5.5703125" style="262" bestFit="1" customWidth="1"/>
    <col min="2603" max="2604" width="3.5703125" style="262"/>
    <col min="2605" max="2605" width="6.5703125" style="262" bestFit="1" customWidth="1"/>
    <col min="2606" max="2606" width="3.5703125" style="262"/>
    <col min="2607" max="2607" width="5.5703125" style="262" bestFit="1" customWidth="1"/>
    <col min="2608" max="2819" width="3.5703125" style="262"/>
    <col min="2820" max="2820" width="11.42578125" style="262" customWidth="1"/>
    <col min="2821" max="2821" width="1.85546875" style="262" customWidth="1"/>
    <col min="2822" max="2825" width="5.42578125" style="262" customWidth="1"/>
    <col min="2826" max="2826" width="10.42578125" style="262" customWidth="1"/>
    <col min="2827" max="2827" width="7.85546875" style="262" customWidth="1"/>
    <col min="2828" max="2828" width="8.85546875" style="262" customWidth="1"/>
    <col min="2829" max="2829" width="8.42578125" style="262" customWidth="1"/>
    <col min="2830" max="2830" width="4.42578125" style="262" customWidth="1"/>
    <col min="2831" max="2832" width="4.140625" style="262" customWidth="1"/>
    <col min="2833" max="2833" width="6.85546875" style="262" customWidth="1"/>
    <col min="2834" max="2834" width="4.140625" style="262" customWidth="1"/>
    <col min="2835" max="2840" width="4.42578125" style="262" customWidth="1"/>
    <col min="2841" max="2841" width="7" style="262" customWidth="1"/>
    <col min="2842" max="2842" width="0" style="262" hidden="1" customWidth="1"/>
    <col min="2843" max="2846" width="3.5703125" style="262" customWidth="1"/>
    <col min="2847" max="2848" width="3.5703125" style="262"/>
    <col min="2849" max="2850" width="0" style="262" hidden="1" customWidth="1"/>
    <col min="2851" max="2857" width="3.5703125" style="262"/>
    <col min="2858" max="2858" width="5.5703125" style="262" bestFit="1" customWidth="1"/>
    <col min="2859" max="2860" width="3.5703125" style="262"/>
    <col min="2861" max="2861" width="6.5703125" style="262" bestFit="1" customWidth="1"/>
    <col min="2862" max="2862" width="3.5703125" style="262"/>
    <col min="2863" max="2863" width="5.5703125" style="262" bestFit="1" customWidth="1"/>
    <col min="2864" max="3075" width="3.5703125" style="262"/>
    <col min="3076" max="3076" width="11.42578125" style="262" customWidth="1"/>
    <col min="3077" max="3077" width="1.85546875" style="262" customWidth="1"/>
    <col min="3078" max="3081" width="5.42578125" style="262" customWidth="1"/>
    <col min="3082" max="3082" width="10.42578125" style="262" customWidth="1"/>
    <col min="3083" max="3083" width="7.85546875" style="262" customWidth="1"/>
    <col min="3084" max="3084" width="8.85546875" style="262" customWidth="1"/>
    <col min="3085" max="3085" width="8.42578125" style="262" customWidth="1"/>
    <col min="3086" max="3086" width="4.42578125" style="262" customWidth="1"/>
    <col min="3087" max="3088" width="4.140625" style="262" customWidth="1"/>
    <col min="3089" max="3089" width="6.85546875" style="262" customWidth="1"/>
    <col min="3090" max="3090" width="4.140625" style="262" customWidth="1"/>
    <col min="3091" max="3096" width="4.42578125" style="262" customWidth="1"/>
    <col min="3097" max="3097" width="7" style="262" customWidth="1"/>
    <col min="3098" max="3098" width="0" style="262" hidden="1" customWidth="1"/>
    <col min="3099" max="3102" width="3.5703125" style="262" customWidth="1"/>
    <col min="3103" max="3104" width="3.5703125" style="262"/>
    <col min="3105" max="3106" width="0" style="262" hidden="1" customWidth="1"/>
    <col min="3107" max="3113" width="3.5703125" style="262"/>
    <col min="3114" max="3114" width="5.5703125" style="262" bestFit="1" customWidth="1"/>
    <col min="3115" max="3116" width="3.5703125" style="262"/>
    <col min="3117" max="3117" width="6.5703125" style="262" bestFit="1" customWidth="1"/>
    <col min="3118" max="3118" width="3.5703125" style="262"/>
    <col min="3119" max="3119" width="5.5703125" style="262" bestFit="1" customWidth="1"/>
    <col min="3120" max="3331" width="3.5703125" style="262"/>
    <col min="3332" max="3332" width="11.42578125" style="262" customWidth="1"/>
    <col min="3333" max="3333" width="1.85546875" style="262" customWidth="1"/>
    <col min="3334" max="3337" width="5.42578125" style="262" customWidth="1"/>
    <col min="3338" max="3338" width="10.42578125" style="262" customWidth="1"/>
    <col min="3339" max="3339" width="7.85546875" style="262" customWidth="1"/>
    <col min="3340" max="3340" width="8.85546875" style="262" customWidth="1"/>
    <col min="3341" max="3341" width="8.42578125" style="262" customWidth="1"/>
    <col min="3342" max="3342" width="4.42578125" style="262" customWidth="1"/>
    <col min="3343" max="3344" width="4.140625" style="262" customWidth="1"/>
    <col min="3345" max="3345" width="6.85546875" style="262" customWidth="1"/>
    <col min="3346" max="3346" width="4.140625" style="262" customWidth="1"/>
    <col min="3347" max="3352" width="4.42578125" style="262" customWidth="1"/>
    <col min="3353" max="3353" width="7" style="262" customWidth="1"/>
    <col min="3354" max="3354" width="0" style="262" hidden="1" customWidth="1"/>
    <col min="3355" max="3358" width="3.5703125" style="262" customWidth="1"/>
    <col min="3359" max="3360" width="3.5703125" style="262"/>
    <col min="3361" max="3362" width="0" style="262" hidden="1" customWidth="1"/>
    <col min="3363" max="3369" width="3.5703125" style="262"/>
    <col min="3370" max="3370" width="5.5703125" style="262" bestFit="1" customWidth="1"/>
    <col min="3371" max="3372" width="3.5703125" style="262"/>
    <col min="3373" max="3373" width="6.5703125" style="262" bestFit="1" customWidth="1"/>
    <col min="3374" max="3374" width="3.5703125" style="262"/>
    <col min="3375" max="3375" width="5.5703125" style="262" bestFit="1" customWidth="1"/>
    <col min="3376" max="3587" width="3.5703125" style="262"/>
    <col min="3588" max="3588" width="11.42578125" style="262" customWidth="1"/>
    <col min="3589" max="3589" width="1.85546875" style="262" customWidth="1"/>
    <col min="3590" max="3593" width="5.42578125" style="262" customWidth="1"/>
    <col min="3594" max="3594" width="10.42578125" style="262" customWidth="1"/>
    <col min="3595" max="3595" width="7.85546875" style="262" customWidth="1"/>
    <col min="3596" max="3596" width="8.85546875" style="262" customWidth="1"/>
    <col min="3597" max="3597" width="8.42578125" style="262" customWidth="1"/>
    <col min="3598" max="3598" width="4.42578125" style="262" customWidth="1"/>
    <col min="3599" max="3600" width="4.140625" style="262" customWidth="1"/>
    <col min="3601" max="3601" width="6.85546875" style="262" customWidth="1"/>
    <col min="3602" max="3602" width="4.140625" style="262" customWidth="1"/>
    <col min="3603" max="3608" width="4.42578125" style="262" customWidth="1"/>
    <col min="3609" max="3609" width="7" style="262" customWidth="1"/>
    <col min="3610" max="3610" width="0" style="262" hidden="1" customWidth="1"/>
    <col min="3611" max="3614" width="3.5703125" style="262" customWidth="1"/>
    <col min="3615" max="3616" width="3.5703125" style="262"/>
    <col min="3617" max="3618" width="0" style="262" hidden="1" customWidth="1"/>
    <col min="3619" max="3625" width="3.5703125" style="262"/>
    <col min="3626" max="3626" width="5.5703125" style="262" bestFit="1" customWidth="1"/>
    <col min="3627" max="3628" width="3.5703125" style="262"/>
    <col min="3629" max="3629" width="6.5703125" style="262" bestFit="1" customWidth="1"/>
    <col min="3630" max="3630" width="3.5703125" style="262"/>
    <col min="3631" max="3631" width="5.5703125" style="262" bestFit="1" customWidth="1"/>
    <col min="3632" max="3843" width="3.5703125" style="262"/>
    <col min="3844" max="3844" width="11.42578125" style="262" customWidth="1"/>
    <col min="3845" max="3845" width="1.85546875" style="262" customWidth="1"/>
    <col min="3846" max="3849" width="5.42578125" style="262" customWidth="1"/>
    <col min="3850" max="3850" width="10.42578125" style="262" customWidth="1"/>
    <col min="3851" max="3851" width="7.85546875" style="262" customWidth="1"/>
    <col min="3852" max="3852" width="8.85546875" style="262" customWidth="1"/>
    <col min="3853" max="3853" width="8.42578125" style="262" customWidth="1"/>
    <col min="3854" max="3854" width="4.42578125" style="262" customWidth="1"/>
    <col min="3855" max="3856" width="4.140625" style="262" customWidth="1"/>
    <col min="3857" max="3857" width="6.85546875" style="262" customWidth="1"/>
    <col min="3858" max="3858" width="4.140625" style="262" customWidth="1"/>
    <col min="3859" max="3864" width="4.42578125" style="262" customWidth="1"/>
    <col min="3865" max="3865" width="7" style="262" customWidth="1"/>
    <col min="3866" max="3866" width="0" style="262" hidden="1" customWidth="1"/>
    <col min="3867" max="3870" width="3.5703125" style="262" customWidth="1"/>
    <col min="3871" max="3872" width="3.5703125" style="262"/>
    <col min="3873" max="3874" width="0" style="262" hidden="1" customWidth="1"/>
    <col min="3875" max="3881" width="3.5703125" style="262"/>
    <col min="3882" max="3882" width="5.5703125" style="262" bestFit="1" customWidth="1"/>
    <col min="3883" max="3884" width="3.5703125" style="262"/>
    <col min="3885" max="3885" width="6.5703125" style="262" bestFit="1" customWidth="1"/>
    <col min="3886" max="3886" width="3.5703125" style="262"/>
    <col min="3887" max="3887" width="5.5703125" style="262" bestFit="1" customWidth="1"/>
    <col min="3888" max="4099" width="3.5703125" style="262"/>
    <col min="4100" max="4100" width="11.42578125" style="262" customWidth="1"/>
    <col min="4101" max="4101" width="1.85546875" style="262" customWidth="1"/>
    <col min="4102" max="4105" width="5.42578125" style="262" customWidth="1"/>
    <col min="4106" max="4106" width="10.42578125" style="262" customWidth="1"/>
    <col min="4107" max="4107" width="7.85546875" style="262" customWidth="1"/>
    <col min="4108" max="4108" width="8.85546875" style="262" customWidth="1"/>
    <col min="4109" max="4109" width="8.42578125" style="262" customWidth="1"/>
    <col min="4110" max="4110" width="4.42578125" style="262" customWidth="1"/>
    <col min="4111" max="4112" width="4.140625" style="262" customWidth="1"/>
    <col min="4113" max="4113" width="6.85546875" style="262" customWidth="1"/>
    <col min="4114" max="4114" width="4.140625" style="262" customWidth="1"/>
    <col min="4115" max="4120" width="4.42578125" style="262" customWidth="1"/>
    <col min="4121" max="4121" width="7" style="262" customWidth="1"/>
    <col min="4122" max="4122" width="0" style="262" hidden="1" customWidth="1"/>
    <col min="4123" max="4126" width="3.5703125" style="262" customWidth="1"/>
    <col min="4127" max="4128" width="3.5703125" style="262"/>
    <col min="4129" max="4130" width="0" style="262" hidden="1" customWidth="1"/>
    <col min="4131" max="4137" width="3.5703125" style="262"/>
    <col min="4138" max="4138" width="5.5703125" style="262" bestFit="1" customWidth="1"/>
    <col min="4139" max="4140" width="3.5703125" style="262"/>
    <col min="4141" max="4141" width="6.5703125" style="262" bestFit="1" customWidth="1"/>
    <col min="4142" max="4142" width="3.5703125" style="262"/>
    <col min="4143" max="4143" width="5.5703125" style="262" bestFit="1" customWidth="1"/>
    <col min="4144" max="4355" width="3.5703125" style="262"/>
    <col min="4356" max="4356" width="11.42578125" style="262" customWidth="1"/>
    <col min="4357" max="4357" width="1.85546875" style="262" customWidth="1"/>
    <col min="4358" max="4361" width="5.42578125" style="262" customWidth="1"/>
    <col min="4362" max="4362" width="10.42578125" style="262" customWidth="1"/>
    <col min="4363" max="4363" width="7.85546875" style="262" customWidth="1"/>
    <col min="4364" max="4364" width="8.85546875" style="262" customWidth="1"/>
    <col min="4365" max="4365" width="8.42578125" style="262" customWidth="1"/>
    <col min="4366" max="4366" width="4.42578125" style="262" customWidth="1"/>
    <col min="4367" max="4368" width="4.140625" style="262" customWidth="1"/>
    <col min="4369" max="4369" width="6.85546875" style="262" customWidth="1"/>
    <col min="4370" max="4370" width="4.140625" style="262" customWidth="1"/>
    <col min="4371" max="4376" width="4.42578125" style="262" customWidth="1"/>
    <col min="4377" max="4377" width="7" style="262" customWidth="1"/>
    <col min="4378" max="4378" width="0" style="262" hidden="1" customWidth="1"/>
    <col min="4379" max="4382" width="3.5703125" style="262" customWidth="1"/>
    <col min="4383" max="4384" width="3.5703125" style="262"/>
    <col min="4385" max="4386" width="0" style="262" hidden="1" customWidth="1"/>
    <col min="4387" max="4393" width="3.5703125" style="262"/>
    <col min="4394" max="4394" width="5.5703125" style="262" bestFit="1" customWidth="1"/>
    <col min="4395" max="4396" width="3.5703125" style="262"/>
    <col min="4397" max="4397" width="6.5703125" style="262" bestFit="1" customWidth="1"/>
    <col min="4398" max="4398" width="3.5703125" style="262"/>
    <col min="4399" max="4399" width="5.5703125" style="262" bestFit="1" customWidth="1"/>
    <col min="4400" max="4611" width="3.5703125" style="262"/>
    <col min="4612" max="4612" width="11.42578125" style="262" customWidth="1"/>
    <col min="4613" max="4613" width="1.85546875" style="262" customWidth="1"/>
    <col min="4614" max="4617" width="5.42578125" style="262" customWidth="1"/>
    <col min="4618" max="4618" width="10.42578125" style="262" customWidth="1"/>
    <col min="4619" max="4619" width="7.85546875" style="262" customWidth="1"/>
    <col min="4620" max="4620" width="8.85546875" style="262" customWidth="1"/>
    <col min="4621" max="4621" width="8.42578125" style="262" customWidth="1"/>
    <col min="4622" max="4622" width="4.42578125" style="262" customWidth="1"/>
    <col min="4623" max="4624" width="4.140625" style="262" customWidth="1"/>
    <col min="4625" max="4625" width="6.85546875" style="262" customWidth="1"/>
    <col min="4626" max="4626" width="4.140625" style="262" customWidth="1"/>
    <col min="4627" max="4632" width="4.42578125" style="262" customWidth="1"/>
    <col min="4633" max="4633" width="7" style="262" customWidth="1"/>
    <col min="4634" max="4634" width="0" style="262" hidden="1" customWidth="1"/>
    <col min="4635" max="4638" width="3.5703125" style="262" customWidth="1"/>
    <col min="4639" max="4640" width="3.5703125" style="262"/>
    <col min="4641" max="4642" width="0" style="262" hidden="1" customWidth="1"/>
    <col min="4643" max="4649" width="3.5703125" style="262"/>
    <col min="4650" max="4650" width="5.5703125" style="262" bestFit="1" customWidth="1"/>
    <col min="4651" max="4652" width="3.5703125" style="262"/>
    <col min="4653" max="4653" width="6.5703125" style="262" bestFit="1" customWidth="1"/>
    <col min="4654" max="4654" width="3.5703125" style="262"/>
    <col min="4655" max="4655" width="5.5703125" style="262" bestFit="1" customWidth="1"/>
    <col min="4656" max="4867" width="3.5703125" style="262"/>
    <col min="4868" max="4868" width="11.42578125" style="262" customWidth="1"/>
    <col min="4869" max="4869" width="1.85546875" style="262" customWidth="1"/>
    <col min="4870" max="4873" width="5.42578125" style="262" customWidth="1"/>
    <col min="4874" max="4874" width="10.42578125" style="262" customWidth="1"/>
    <col min="4875" max="4875" width="7.85546875" style="262" customWidth="1"/>
    <col min="4876" max="4876" width="8.85546875" style="262" customWidth="1"/>
    <col min="4877" max="4877" width="8.42578125" style="262" customWidth="1"/>
    <col min="4878" max="4878" width="4.42578125" style="262" customWidth="1"/>
    <col min="4879" max="4880" width="4.140625" style="262" customWidth="1"/>
    <col min="4881" max="4881" width="6.85546875" style="262" customWidth="1"/>
    <col min="4882" max="4882" width="4.140625" style="262" customWidth="1"/>
    <col min="4883" max="4888" width="4.42578125" style="262" customWidth="1"/>
    <col min="4889" max="4889" width="7" style="262" customWidth="1"/>
    <col min="4890" max="4890" width="0" style="262" hidden="1" customWidth="1"/>
    <col min="4891" max="4894" width="3.5703125" style="262" customWidth="1"/>
    <col min="4895" max="4896" width="3.5703125" style="262"/>
    <col min="4897" max="4898" width="0" style="262" hidden="1" customWidth="1"/>
    <col min="4899" max="4905" width="3.5703125" style="262"/>
    <col min="4906" max="4906" width="5.5703125" style="262" bestFit="1" customWidth="1"/>
    <col min="4907" max="4908" width="3.5703125" style="262"/>
    <col min="4909" max="4909" width="6.5703125" style="262" bestFit="1" customWidth="1"/>
    <col min="4910" max="4910" width="3.5703125" style="262"/>
    <col min="4911" max="4911" width="5.5703125" style="262" bestFit="1" customWidth="1"/>
    <col min="4912" max="5123" width="3.5703125" style="262"/>
    <col min="5124" max="5124" width="11.42578125" style="262" customWidth="1"/>
    <col min="5125" max="5125" width="1.85546875" style="262" customWidth="1"/>
    <col min="5126" max="5129" width="5.42578125" style="262" customWidth="1"/>
    <col min="5130" max="5130" width="10.42578125" style="262" customWidth="1"/>
    <col min="5131" max="5131" width="7.85546875" style="262" customWidth="1"/>
    <col min="5132" max="5132" width="8.85546875" style="262" customWidth="1"/>
    <col min="5133" max="5133" width="8.42578125" style="262" customWidth="1"/>
    <col min="5134" max="5134" width="4.42578125" style="262" customWidth="1"/>
    <col min="5135" max="5136" width="4.140625" style="262" customWidth="1"/>
    <col min="5137" max="5137" width="6.85546875" style="262" customWidth="1"/>
    <col min="5138" max="5138" width="4.140625" style="262" customWidth="1"/>
    <col min="5139" max="5144" width="4.42578125" style="262" customWidth="1"/>
    <col min="5145" max="5145" width="7" style="262" customWidth="1"/>
    <col min="5146" max="5146" width="0" style="262" hidden="1" customWidth="1"/>
    <col min="5147" max="5150" width="3.5703125" style="262" customWidth="1"/>
    <col min="5151" max="5152" width="3.5703125" style="262"/>
    <col min="5153" max="5154" width="0" style="262" hidden="1" customWidth="1"/>
    <col min="5155" max="5161" width="3.5703125" style="262"/>
    <col min="5162" max="5162" width="5.5703125" style="262" bestFit="1" customWidth="1"/>
    <col min="5163" max="5164" width="3.5703125" style="262"/>
    <col min="5165" max="5165" width="6.5703125" style="262" bestFit="1" customWidth="1"/>
    <col min="5166" max="5166" width="3.5703125" style="262"/>
    <col min="5167" max="5167" width="5.5703125" style="262" bestFit="1" customWidth="1"/>
    <col min="5168" max="5379" width="3.5703125" style="262"/>
    <col min="5380" max="5380" width="11.42578125" style="262" customWidth="1"/>
    <col min="5381" max="5381" width="1.85546875" style="262" customWidth="1"/>
    <col min="5382" max="5385" width="5.42578125" style="262" customWidth="1"/>
    <col min="5386" max="5386" width="10.42578125" style="262" customWidth="1"/>
    <col min="5387" max="5387" width="7.85546875" style="262" customWidth="1"/>
    <col min="5388" max="5388" width="8.85546875" style="262" customWidth="1"/>
    <col min="5389" max="5389" width="8.42578125" style="262" customWidth="1"/>
    <col min="5390" max="5390" width="4.42578125" style="262" customWidth="1"/>
    <col min="5391" max="5392" width="4.140625" style="262" customWidth="1"/>
    <col min="5393" max="5393" width="6.85546875" style="262" customWidth="1"/>
    <col min="5394" max="5394" width="4.140625" style="262" customWidth="1"/>
    <col min="5395" max="5400" width="4.42578125" style="262" customWidth="1"/>
    <col min="5401" max="5401" width="7" style="262" customWidth="1"/>
    <col min="5402" max="5402" width="0" style="262" hidden="1" customWidth="1"/>
    <col min="5403" max="5406" width="3.5703125" style="262" customWidth="1"/>
    <col min="5407" max="5408" width="3.5703125" style="262"/>
    <col min="5409" max="5410" width="0" style="262" hidden="1" customWidth="1"/>
    <col min="5411" max="5417" width="3.5703125" style="262"/>
    <col min="5418" max="5418" width="5.5703125" style="262" bestFit="1" customWidth="1"/>
    <col min="5419" max="5420" width="3.5703125" style="262"/>
    <col min="5421" max="5421" width="6.5703125" style="262" bestFit="1" customWidth="1"/>
    <col min="5422" max="5422" width="3.5703125" style="262"/>
    <col min="5423" max="5423" width="5.5703125" style="262" bestFit="1" customWidth="1"/>
    <col min="5424" max="5635" width="3.5703125" style="262"/>
    <col min="5636" max="5636" width="11.42578125" style="262" customWidth="1"/>
    <col min="5637" max="5637" width="1.85546875" style="262" customWidth="1"/>
    <col min="5638" max="5641" width="5.42578125" style="262" customWidth="1"/>
    <col min="5642" max="5642" width="10.42578125" style="262" customWidth="1"/>
    <col min="5643" max="5643" width="7.85546875" style="262" customWidth="1"/>
    <col min="5644" max="5644" width="8.85546875" style="262" customWidth="1"/>
    <col min="5645" max="5645" width="8.42578125" style="262" customWidth="1"/>
    <col min="5646" max="5646" width="4.42578125" style="262" customWidth="1"/>
    <col min="5647" max="5648" width="4.140625" style="262" customWidth="1"/>
    <col min="5649" max="5649" width="6.85546875" style="262" customWidth="1"/>
    <col min="5650" max="5650" width="4.140625" style="262" customWidth="1"/>
    <col min="5651" max="5656" width="4.42578125" style="262" customWidth="1"/>
    <col min="5657" max="5657" width="7" style="262" customWidth="1"/>
    <col min="5658" max="5658" width="0" style="262" hidden="1" customWidth="1"/>
    <col min="5659" max="5662" width="3.5703125" style="262" customWidth="1"/>
    <col min="5663" max="5664" width="3.5703125" style="262"/>
    <col min="5665" max="5666" width="0" style="262" hidden="1" customWidth="1"/>
    <col min="5667" max="5673" width="3.5703125" style="262"/>
    <col min="5674" max="5674" width="5.5703125" style="262" bestFit="1" customWidth="1"/>
    <col min="5675" max="5676" width="3.5703125" style="262"/>
    <col min="5677" max="5677" width="6.5703125" style="262" bestFit="1" customWidth="1"/>
    <col min="5678" max="5678" width="3.5703125" style="262"/>
    <col min="5679" max="5679" width="5.5703125" style="262" bestFit="1" customWidth="1"/>
    <col min="5680" max="5891" width="3.5703125" style="262"/>
    <col min="5892" max="5892" width="11.42578125" style="262" customWidth="1"/>
    <col min="5893" max="5893" width="1.85546875" style="262" customWidth="1"/>
    <col min="5894" max="5897" width="5.42578125" style="262" customWidth="1"/>
    <col min="5898" max="5898" width="10.42578125" style="262" customWidth="1"/>
    <col min="5899" max="5899" width="7.85546875" style="262" customWidth="1"/>
    <col min="5900" max="5900" width="8.85546875" style="262" customWidth="1"/>
    <col min="5901" max="5901" width="8.42578125" style="262" customWidth="1"/>
    <col min="5902" max="5902" width="4.42578125" style="262" customWidth="1"/>
    <col min="5903" max="5904" width="4.140625" style="262" customWidth="1"/>
    <col min="5905" max="5905" width="6.85546875" style="262" customWidth="1"/>
    <col min="5906" max="5906" width="4.140625" style="262" customWidth="1"/>
    <col min="5907" max="5912" width="4.42578125" style="262" customWidth="1"/>
    <col min="5913" max="5913" width="7" style="262" customWidth="1"/>
    <col min="5914" max="5914" width="0" style="262" hidden="1" customWidth="1"/>
    <col min="5915" max="5918" width="3.5703125" style="262" customWidth="1"/>
    <col min="5919" max="5920" width="3.5703125" style="262"/>
    <col min="5921" max="5922" width="0" style="262" hidden="1" customWidth="1"/>
    <col min="5923" max="5929" width="3.5703125" style="262"/>
    <col min="5930" max="5930" width="5.5703125" style="262" bestFit="1" customWidth="1"/>
    <col min="5931" max="5932" width="3.5703125" style="262"/>
    <col min="5933" max="5933" width="6.5703125" style="262" bestFit="1" customWidth="1"/>
    <col min="5934" max="5934" width="3.5703125" style="262"/>
    <col min="5935" max="5935" width="5.5703125" style="262" bestFit="1" customWidth="1"/>
    <col min="5936" max="6147" width="3.5703125" style="262"/>
    <col min="6148" max="6148" width="11.42578125" style="262" customWidth="1"/>
    <col min="6149" max="6149" width="1.85546875" style="262" customWidth="1"/>
    <col min="6150" max="6153" width="5.42578125" style="262" customWidth="1"/>
    <col min="6154" max="6154" width="10.42578125" style="262" customWidth="1"/>
    <col min="6155" max="6155" width="7.85546875" style="262" customWidth="1"/>
    <col min="6156" max="6156" width="8.85546875" style="262" customWidth="1"/>
    <col min="6157" max="6157" width="8.42578125" style="262" customWidth="1"/>
    <col min="6158" max="6158" width="4.42578125" style="262" customWidth="1"/>
    <col min="6159" max="6160" width="4.140625" style="262" customWidth="1"/>
    <col min="6161" max="6161" width="6.85546875" style="262" customWidth="1"/>
    <col min="6162" max="6162" width="4.140625" style="262" customWidth="1"/>
    <col min="6163" max="6168" width="4.42578125" style="262" customWidth="1"/>
    <col min="6169" max="6169" width="7" style="262" customWidth="1"/>
    <col min="6170" max="6170" width="0" style="262" hidden="1" customWidth="1"/>
    <col min="6171" max="6174" width="3.5703125" style="262" customWidth="1"/>
    <col min="6175" max="6176" width="3.5703125" style="262"/>
    <col min="6177" max="6178" width="0" style="262" hidden="1" customWidth="1"/>
    <col min="6179" max="6185" width="3.5703125" style="262"/>
    <col min="6186" max="6186" width="5.5703125" style="262" bestFit="1" customWidth="1"/>
    <col min="6187" max="6188" width="3.5703125" style="262"/>
    <col min="6189" max="6189" width="6.5703125" style="262" bestFit="1" customWidth="1"/>
    <col min="6190" max="6190" width="3.5703125" style="262"/>
    <col min="6191" max="6191" width="5.5703125" style="262" bestFit="1" customWidth="1"/>
    <col min="6192" max="6403" width="3.5703125" style="262"/>
    <col min="6404" max="6404" width="11.42578125" style="262" customWidth="1"/>
    <col min="6405" max="6405" width="1.85546875" style="262" customWidth="1"/>
    <col min="6406" max="6409" width="5.42578125" style="262" customWidth="1"/>
    <col min="6410" max="6410" width="10.42578125" style="262" customWidth="1"/>
    <col min="6411" max="6411" width="7.85546875" style="262" customWidth="1"/>
    <col min="6412" max="6412" width="8.85546875" style="262" customWidth="1"/>
    <col min="6413" max="6413" width="8.42578125" style="262" customWidth="1"/>
    <col min="6414" max="6414" width="4.42578125" style="262" customWidth="1"/>
    <col min="6415" max="6416" width="4.140625" style="262" customWidth="1"/>
    <col min="6417" max="6417" width="6.85546875" style="262" customWidth="1"/>
    <col min="6418" max="6418" width="4.140625" style="262" customWidth="1"/>
    <col min="6419" max="6424" width="4.42578125" style="262" customWidth="1"/>
    <col min="6425" max="6425" width="7" style="262" customWidth="1"/>
    <col min="6426" max="6426" width="0" style="262" hidden="1" customWidth="1"/>
    <col min="6427" max="6430" width="3.5703125" style="262" customWidth="1"/>
    <col min="6431" max="6432" width="3.5703125" style="262"/>
    <col min="6433" max="6434" width="0" style="262" hidden="1" customWidth="1"/>
    <col min="6435" max="6441" width="3.5703125" style="262"/>
    <col min="6442" max="6442" width="5.5703125" style="262" bestFit="1" customWidth="1"/>
    <col min="6443" max="6444" width="3.5703125" style="262"/>
    <col min="6445" max="6445" width="6.5703125" style="262" bestFit="1" customWidth="1"/>
    <col min="6446" max="6446" width="3.5703125" style="262"/>
    <col min="6447" max="6447" width="5.5703125" style="262" bestFit="1" customWidth="1"/>
    <col min="6448" max="6659" width="3.5703125" style="262"/>
    <col min="6660" max="6660" width="11.42578125" style="262" customWidth="1"/>
    <col min="6661" max="6661" width="1.85546875" style="262" customWidth="1"/>
    <col min="6662" max="6665" width="5.42578125" style="262" customWidth="1"/>
    <col min="6666" max="6666" width="10.42578125" style="262" customWidth="1"/>
    <col min="6667" max="6667" width="7.85546875" style="262" customWidth="1"/>
    <col min="6668" max="6668" width="8.85546875" style="262" customWidth="1"/>
    <col min="6669" max="6669" width="8.42578125" style="262" customWidth="1"/>
    <col min="6670" max="6670" width="4.42578125" style="262" customWidth="1"/>
    <col min="6671" max="6672" width="4.140625" style="262" customWidth="1"/>
    <col min="6673" max="6673" width="6.85546875" style="262" customWidth="1"/>
    <col min="6674" max="6674" width="4.140625" style="262" customWidth="1"/>
    <col min="6675" max="6680" width="4.42578125" style="262" customWidth="1"/>
    <col min="6681" max="6681" width="7" style="262" customWidth="1"/>
    <col min="6682" max="6682" width="0" style="262" hidden="1" customWidth="1"/>
    <col min="6683" max="6686" width="3.5703125" style="262" customWidth="1"/>
    <col min="6687" max="6688" width="3.5703125" style="262"/>
    <col min="6689" max="6690" width="0" style="262" hidden="1" customWidth="1"/>
    <col min="6691" max="6697" width="3.5703125" style="262"/>
    <col min="6698" max="6698" width="5.5703125" style="262" bestFit="1" customWidth="1"/>
    <col min="6699" max="6700" width="3.5703125" style="262"/>
    <col min="6701" max="6701" width="6.5703125" style="262" bestFit="1" customWidth="1"/>
    <col min="6702" max="6702" width="3.5703125" style="262"/>
    <col min="6703" max="6703" width="5.5703125" style="262" bestFit="1" customWidth="1"/>
    <col min="6704" max="6915" width="3.5703125" style="262"/>
    <col min="6916" max="6916" width="11.42578125" style="262" customWidth="1"/>
    <col min="6917" max="6917" width="1.85546875" style="262" customWidth="1"/>
    <col min="6918" max="6921" width="5.42578125" style="262" customWidth="1"/>
    <col min="6922" max="6922" width="10.42578125" style="262" customWidth="1"/>
    <col min="6923" max="6923" width="7.85546875" style="262" customWidth="1"/>
    <col min="6924" max="6924" width="8.85546875" style="262" customWidth="1"/>
    <col min="6925" max="6925" width="8.42578125" style="262" customWidth="1"/>
    <col min="6926" max="6926" width="4.42578125" style="262" customWidth="1"/>
    <col min="6927" max="6928" width="4.140625" style="262" customWidth="1"/>
    <col min="6929" max="6929" width="6.85546875" style="262" customWidth="1"/>
    <col min="6930" max="6930" width="4.140625" style="262" customWidth="1"/>
    <col min="6931" max="6936" width="4.42578125" style="262" customWidth="1"/>
    <col min="6937" max="6937" width="7" style="262" customWidth="1"/>
    <col min="6938" max="6938" width="0" style="262" hidden="1" customWidth="1"/>
    <col min="6939" max="6942" width="3.5703125" style="262" customWidth="1"/>
    <col min="6943" max="6944" width="3.5703125" style="262"/>
    <col min="6945" max="6946" width="0" style="262" hidden="1" customWidth="1"/>
    <col min="6947" max="6953" width="3.5703125" style="262"/>
    <col min="6954" max="6954" width="5.5703125" style="262" bestFit="1" customWidth="1"/>
    <col min="6955" max="6956" width="3.5703125" style="262"/>
    <col min="6957" max="6957" width="6.5703125" style="262" bestFit="1" customWidth="1"/>
    <col min="6958" max="6958" width="3.5703125" style="262"/>
    <col min="6959" max="6959" width="5.5703125" style="262" bestFit="1" customWidth="1"/>
    <col min="6960" max="7171" width="3.5703125" style="262"/>
    <col min="7172" max="7172" width="11.42578125" style="262" customWidth="1"/>
    <col min="7173" max="7173" width="1.85546875" style="262" customWidth="1"/>
    <col min="7174" max="7177" width="5.42578125" style="262" customWidth="1"/>
    <col min="7178" max="7178" width="10.42578125" style="262" customWidth="1"/>
    <col min="7179" max="7179" width="7.85546875" style="262" customWidth="1"/>
    <col min="7180" max="7180" width="8.85546875" style="262" customWidth="1"/>
    <col min="7181" max="7181" width="8.42578125" style="262" customWidth="1"/>
    <col min="7182" max="7182" width="4.42578125" style="262" customWidth="1"/>
    <col min="7183" max="7184" width="4.140625" style="262" customWidth="1"/>
    <col min="7185" max="7185" width="6.85546875" style="262" customWidth="1"/>
    <col min="7186" max="7186" width="4.140625" style="262" customWidth="1"/>
    <col min="7187" max="7192" width="4.42578125" style="262" customWidth="1"/>
    <col min="7193" max="7193" width="7" style="262" customWidth="1"/>
    <col min="7194" max="7194" width="0" style="262" hidden="1" customWidth="1"/>
    <col min="7195" max="7198" width="3.5703125" style="262" customWidth="1"/>
    <col min="7199" max="7200" width="3.5703125" style="262"/>
    <col min="7201" max="7202" width="0" style="262" hidden="1" customWidth="1"/>
    <col min="7203" max="7209" width="3.5703125" style="262"/>
    <col min="7210" max="7210" width="5.5703125" style="262" bestFit="1" customWidth="1"/>
    <col min="7211" max="7212" width="3.5703125" style="262"/>
    <col min="7213" max="7213" width="6.5703125" style="262" bestFit="1" customWidth="1"/>
    <col min="7214" max="7214" width="3.5703125" style="262"/>
    <col min="7215" max="7215" width="5.5703125" style="262" bestFit="1" customWidth="1"/>
    <col min="7216" max="7427" width="3.5703125" style="262"/>
    <col min="7428" max="7428" width="11.42578125" style="262" customWidth="1"/>
    <col min="7429" max="7429" width="1.85546875" style="262" customWidth="1"/>
    <col min="7430" max="7433" width="5.42578125" style="262" customWidth="1"/>
    <col min="7434" max="7434" width="10.42578125" style="262" customWidth="1"/>
    <col min="7435" max="7435" width="7.85546875" style="262" customWidth="1"/>
    <col min="7436" max="7436" width="8.85546875" style="262" customWidth="1"/>
    <col min="7437" max="7437" width="8.42578125" style="262" customWidth="1"/>
    <col min="7438" max="7438" width="4.42578125" style="262" customWidth="1"/>
    <col min="7439" max="7440" width="4.140625" style="262" customWidth="1"/>
    <col min="7441" max="7441" width="6.85546875" style="262" customWidth="1"/>
    <col min="7442" max="7442" width="4.140625" style="262" customWidth="1"/>
    <col min="7443" max="7448" width="4.42578125" style="262" customWidth="1"/>
    <col min="7449" max="7449" width="7" style="262" customWidth="1"/>
    <col min="7450" max="7450" width="0" style="262" hidden="1" customWidth="1"/>
    <col min="7451" max="7454" width="3.5703125" style="262" customWidth="1"/>
    <col min="7455" max="7456" width="3.5703125" style="262"/>
    <col min="7457" max="7458" width="0" style="262" hidden="1" customWidth="1"/>
    <col min="7459" max="7465" width="3.5703125" style="262"/>
    <col min="7466" max="7466" width="5.5703125" style="262" bestFit="1" customWidth="1"/>
    <col min="7467" max="7468" width="3.5703125" style="262"/>
    <col min="7469" max="7469" width="6.5703125" style="262" bestFit="1" customWidth="1"/>
    <col min="7470" max="7470" width="3.5703125" style="262"/>
    <col min="7471" max="7471" width="5.5703125" style="262" bestFit="1" customWidth="1"/>
    <col min="7472" max="7683" width="3.5703125" style="262"/>
    <col min="7684" max="7684" width="11.42578125" style="262" customWidth="1"/>
    <col min="7685" max="7685" width="1.85546875" style="262" customWidth="1"/>
    <col min="7686" max="7689" width="5.42578125" style="262" customWidth="1"/>
    <col min="7690" max="7690" width="10.42578125" style="262" customWidth="1"/>
    <col min="7691" max="7691" width="7.85546875" style="262" customWidth="1"/>
    <col min="7692" max="7692" width="8.85546875" style="262" customWidth="1"/>
    <col min="7693" max="7693" width="8.42578125" style="262" customWidth="1"/>
    <col min="7694" max="7694" width="4.42578125" style="262" customWidth="1"/>
    <col min="7695" max="7696" width="4.140625" style="262" customWidth="1"/>
    <col min="7697" max="7697" width="6.85546875" style="262" customWidth="1"/>
    <col min="7698" max="7698" width="4.140625" style="262" customWidth="1"/>
    <col min="7699" max="7704" width="4.42578125" style="262" customWidth="1"/>
    <col min="7705" max="7705" width="7" style="262" customWidth="1"/>
    <col min="7706" max="7706" width="0" style="262" hidden="1" customWidth="1"/>
    <col min="7707" max="7710" width="3.5703125" style="262" customWidth="1"/>
    <col min="7711" max="7712" width="3.5703125" style="262"/>
    <col min="7713" max="7714" width="0" style="262" hidden="1" customWidth="1"/>
    <col min="7715" max="7721" width="3.5703125" style="262"/>
    <col min="7722" max="7722" width="5.5703125" style="262" bestFit="1" customWidth="1"/>
    <col min="7723" max="7724" width="3.5703125" style="262"/>
    <col min="7725" max="7725" width="6.5703125" style="262" bestFit="1" customWidth="1"/>
    <col min="7726" max="7726" width="3.5703125" style="262"/>
    <col min="7727" max="7727" width="5.5703125" style="262" bestFit="1" customWidth="1"/>
    <col min="7728" max="7939" width="3.5703125" style="262"/>
    <col min="7940" max="7940" width="11.42578125" style="262" customWidth="1"/>
    <col min="7941" max="7941" width="1.85546875" style="262" customWidth="1"/>
    <col min="7942" max="7945" width="5.42578125" style="262" customWidth="1"/>
    <col min="7946" max="7946" width="10.42578125" style="262" customWidth="1"/>
    <col min="7947" max="7947" width="7.85546875" style="262" customWidth="1"/>
    <col min="7948" max="7948" width="8.85546875" style="262" customWidth="1"/>
    <col min="7949" max="7949" width="8.42578125" style="262" customWidth="1"/>
    <col min="7950" max="7950" width="4.42578125" style="262" customWidth="1"/>
    <col min="7951" max="7952" width="4.140625" style="262" customWidth="1"/>
    <col min="7953" max="7953" width="6.85546875" style="262" customWidth="1"/>
    <col min="7954" max="7954" width="4.140625" style="262" customWidth="1"/>
    <col min="7955" max="7960" width="4.42578125" style="262" customWidth="1"/>
    <col min="7961" max="7961" width="7" style="262" customWidth="1"/>
    <col min="7962" max="7962" width="0" style="262" hidden="1" customWidth="1"/>
    <col min="7963" max="7966" width="3.5703125" style="262" customWidth="1"/>
    <col min="7967" max="7968" width="3.5703125" style="262"/>
    <col min="7969" max="7970" width="0" style="262" hidden="1" customWidth="1"/>
    <col min="7971" max="7977" width="3.5703125" style="262"/>
    <col min="7978" max="7978" width="5.5703125" style="262" bestFit="1" customWidth="1"/>
    <col min="7979" max="7980" width="3.5703125" style="262"/>
    <col min="7981" max="7981" width="6.5703125" style="262" bestFit="1" customWidth="1"/>
    <col min="7982" max="7982" width="3.5703125" style="262"/>
    <col min="7983" max="7983" width="5.5703125" style="262" bestFit="1" customWidth="1"/>
    <col min="7984" max="8195" width="3.5703125" style="262"/>
    <col min="8196" max="8196" width="11.42578125" style="262" customWidth="1"/>
    <col min="8197" max="8197" width="1.85546875" style="262" customWidth="1"/>
    <col min="8198" max="8201" width="5.42578125" style="262" customWidth="1"/>
    <col min="8202" max="8202" width="10.42578125" style="262" customWidth="1"/>
    <col min="8203" max="8203" width="7.85546875" style="262" customWidth="1"/>
    <col min="8204" max="8204" width="8.85546875" style="262" customWidth="1"/>
    <col min="8205" max="8205" width="8.42578125" style="262" customWidth="1"/>
    <col min="8206" max="8206" width="4.42578125" style="262" customWidth="1"/>
    <col min="8207" max="8208" width="4.140625" style="262" customWidth="1"/>
    <col min="8209" max="8209" width="6.85546875" style="262" customWidth="1"/>
    <col min="8210" max="8210" width="4.140625" style="262" customWidth="1"/>
    <col min="8211" max="8216" width="4.42578125" style="262" customWidth="1"/>
    <col min="8217" max="8217" width="7" style="262" customWidth="1"/>
    <col min="8218" max="8218" width="0" style="262" hidden="1" customWidth="1"/>
    <col min="8219" max="8222" width="3.5703125" style="262" customWidth="1"/>
    <col min="8223" max="8224" width="3.5703125" style="262"/>
    <col min="8225" max="8226" width="0" style="262" hidden="1" customWidth="1"/>
    <col min="8227" max="8233" width="3.5703125" style="262"/>
    <col min="8234" max="8234" width="5.5703125" style="262" bestFit="1" customWidth="1"/>
    <col min="8235" max="8236" width="3.5703125" style="262"/>
    <col min="8237" max="8237" width="6.5703125" style="262" bestFit="1" customWidth="1"/>
    <col min="8238" max="8238" width="3.5703125" style="262"/>
    <col min="8239" max="8239" width="5.5703125" style="262" bestFit="1" customWidth="1"/>
    <col min="8240" max="8451" width="3.5703125" style="262"/>
    <col min="8452" max="8452" width="11.42578125" style="262" customWidth="1"/>
    <col min="8453" max="8453" width="1.85546875" style="262" customWidth="1"/>
    <col min="8454" max="8457" width="5.42578125" style="262" customWidth="1"/>
    <col min="8458" max="8458" width="10.42578125" style="262" customWidth="1"/>
    <col min="8459" max="8459" width="7.85546875" style="262" customWidth="1"/>
    <col min="8460" max="8460" width="8.85546875" style="262" customWidth="1"/>
    <col min="8461" max="8461" width="8.42578125" style="262" customWidth="1"/>
    <col min="8462" max="8462" width="4.42578125" style="262" customWidth="1"/>
    <col min="8463" max="8464" width="4.140625" style="262" customWidth="1"/>
    <col min="8465" max="8465" width="6.85546875" style="262" customWidth="1"/>
    <col min="8466" max="8466" width="4.140625" style="262" customWidth="1"/>
    <col min="8467" max="8472" width="4.42578125" style="262" customWidth="1"/>
    <col min="8473" max="8473" width="7" style="262" customWidth="1"/>
    <col min="8474" max="8474" width="0" style="262" hidden="1" customWidth="1"/>
    <col min="8475" max="8478" width="3.5703125" style="262" customWidth="1"/>
    <col min="8479" max="8480" width="3.5703125" style="262"/>
    <col min="8481" max="8482" width="0" style="262" hidden="1" customWidth="1"/>
    <col min="8483" max="8489" width="3.5703125" style="262"/>
    <col min="8490" max="8490" width="5.5703125" style="262" bestFit="1" customWidth="1"/>
    <col min="8491" max="8492" width="3.5703125" style="262"/>
    <col min="8493" max="8493" width="6.5703125" style="262" bestFit="1" customWidth="1"/>
    <col min="8494" max="8494" width="3.5703125" style="262"/>
    <col min="8495" max="8495" width="5.5703125" style="262" bestFit="1" customWidth="1"/>
    <col min="8496" max="8707" width="3.5703125" style="262"/>
    <col min="8708" max="8708" width="11.42578125" style="262" customWidth="1"/>
    <col min="8709" max="8709" width="1.85546875" style="262" customWidth="1"/>
    <col min="8710" max="8713" width="5.42578125" style="262" customWidth="1"/>
    <col min="8714" max="8714" width="10.42578125" style="262" customWidth="1"/>
    <col min="8715" max="8715" width="7.85546875" style="262" customWidth="1"/>
    <col min="8716" max="8716" width="8.85546875" style="262" customWidth="1"/>
    <col min="8717" max="8717" width="8.42578125" style="262" customWidth="1"/>
    <col min="8718" max="8718" width="4.42578125" style="262" customWidth="1"/>
    <col min="8719" max="8720" width="4.140625" style="262" customWidth="1"/>
    <col min="8721" max="8721" width="6.85546875" style="262" customWidth="1"/>
    <col min="8722" max="8722" width="4.140625" style="262" customWidth="1"/>
    <col min="8723" max="8728" width="4.42578125" style="262" customWidth="1"/>
    <col min="8729" max="8729" width="7" style="262" customWidth="1"/>
    <col min="8730" max="8730" width="0" style="262" hidden="1" customWidth="1"/>
    <col min="8731" max="8734" width="3.5703125" style="262" customWidth="1"/>
    <col min="8735" max="8736" width="3.5703125" style="262"/>
    <col min="8737" max="8738" width="0" style="262" hidden="1" customWidth="1"/>
    <col min="8739" max="8745" width="3.5703125" style="262"/>
    <col min="8746" max="8746" width="5.5703125" style="262" bestFit="1" customWidth="1"/>
    <col min="8747" max="8748" width="3.5703125" style="262"/>
    <col min="8749" max="8749" width="6.5703125" style="262" bestFit="1" customWidth="1"/>
    <col min="8750" max="8750" width="3.5703125" style="262"/>
    <col min="8751" max="8751" width="5.5703125" style="262" bestFit="1" customWidth="1"/>
    <col min="8752" max="8963" width="3.5703125" style="262"/>
    <col min="8964" max="8964" width="11.42578125" style="262" customWidth="1"/>
    <col min="8965" max="8965" width="1.85546875" style="262" customWidth="1"/>
    <col min="8966" max="8969" width="5.42578125" style="262" customWidth="1"/>
    <col min="8970" max="8970" width="10.42578125" style="262" customWidth="1"/>
    <col min="8971" max="8971" width="7.85546875" style="262" customWidth="1"/>
    <col min="8972" max="8972" width="8.85546875" style="262" customWidth="1"/>
    <col min="8973" max="8973" width="8.42578125" style="262" customWidth="1"/>
    <col min="8974" max="8974" width="4.42578125" style="262" customWidth="1"/>
    <col min="8975" max="8976" width="4.140625" style="262" customWidth="1"/>
    <col min="8977" max="8977" width="6.85546875" style="262" customWidth="1"/>
    <col min="8978" max="8978" width="4.140625" style="262" customWidth="1"/>
    <col min="8979" max="8984" width="4.42578125" style="262" customWidth="1"/>
    <col min="8985" max="8985" width="7" style="262" customWidth="1"/>
    <col min="8986" max="8986" width="0" style="262" hidden="1" customWidth="1"/>
    <col min="8987" max="8990" width="3.5703125" style="262" customWidth="1"/>
    <col min="8991" max="8992" width="3.5703125" style="262"/>
    <col min="8993" max="8994" width="0" style="262" hidden="1" customWidth="1"/>
    <col min="8995" max="9001" width="3.5703125" style="262"/>
    <col min="9002" max="9002" width="5.5703125" style="262" bestFit="1" customWidth="1"/>
    <col min="9003" max="9004" width="3.5703125" style="262"/>
    <col min="9005" max="9005" width="6.5703125" style="262" bestFit="1" customWidth="1"/>
    <col min="9006" max="9006" width="3.5703125" style="262"/>
    <col min="9007" max="9007" width="5.5703125" style="262" bestFit="1" customWidth="1"/>
    <col min="9008" max="9219" width="3.5703125" style="262"/>
    <col min="9220" max="9220" width="11.42578125" style="262" customWidth="1"/>
    <col min="9221" max="9221" width="1.85546875" style="262" customWidth="1"/>
    <col min="9222" max="9225" width="5.42578125" style="262" customWidth="1"/>
    <col min="9226" max="9226" width="10.42578125" style="262" customWidth="1"/>
    <col min="9227" max="9227" width="7.85546875" style="262" customWidth="1"/>
    <col min="9228" max="9228" width="8.85546875" style="262" customWidth="1"/>
    <col min="9229" max="9229" width="8.42578125" style="262" customWidth="1"/>
    <col min="9230" max="9230" width="4.42578125" style="262" customWidth="1"/>
    <col min="9231" max="9232" width="4.140625" style="262" customWidth="1"/>
    <col min="9233" max="9233" width="6.85546875" style="262" customWidth="1"/>
    <col min="9234" max="9234" width="4.140625" style="262" customWidth="1"/>
    <col min="9235" max="9240" width="4.42578125" style="262" customWidth="1"/>
    <col min="9241" max="9241" width="7" style="262" customWidth="1"/>
    <col min="9242" max="9242" width="0" style="262" hidden="1" customWidth="1"/>
    <col min="9243" max="9246" width="3.5703125" style="262" customWidth="1"/>
    <col min="9247" max="9248" width="3.5703125" style="262"/>
    <col min="9249" max="9250" width="0" style="262" hidden="1" customWidth="1"/>
    <col min="9251" max="9257" width="3.5703125" style="262"/>
    <col min="9258" max="9258" width="5.5703125" style="262" bestFit="1" customWidth="1"/>
    <col min="9259" max="9260" width="3.5703125" style="262"/>
    <col min="9261" max="9261" width="6.5703125" style="262" bestFit="1" customWidth="1"/>
    <col min="9262" max="9262" width="3.5703125" style="262"/>
    <col min="9263" max="9263" width="5.5703125" style="262" bestFit="1" customWidth="1"/>
    <col min="9264" max="9475" width="3.5703125" style="262"/>
    <col min="9476" max="9476" width="11.42578125" style="262" customWidth="1"/>
    <col min="9477" max="9477" width="1.85546875" style="262" customWidth="1"/>
    <col min="9478" max="9481" width="5.42578125" style="262" customWidth="1"/>
    <col min="9482" max="9482" width="10.42578125" style="262" customWidth="1"/>
    <col min="9483" max="9483" width="7.85546875" style="262" customWidth="1"/>
    <col min="9484" max="9484" width="8.85546875" style="262" customWidth="1"/>
    <col min="9485" max="9485" width="8.42578125" style="262" customWidth="1"/>
    <col min="9486" max="9486" width="4.42578125" style="262" customWidth="1"/>
    <col min="9487" max="9488" width="4.140625" style="262" customWidth="1"/>
    <col min="9489" max="9489" width="6.85546875" style="262" customWidth="1"/>
    <col min="9490" max="9490" width="4.140625" style="262" customWidth="1"/>
    <col min="9491" max="9496" width="4.42578125" style="262" customWidth="1"/>
    <col min="9497" max="9497" width="7" style="262" customWidth="1"/>
    <col min="9498" max="9498" width="0" style="262" hidden="1" customWidth="1"/>
    <col min="9499" max="9502" width="3.5703125" style="262" customWidth="1"/>
    <col min="9503" max="9504" width="3.5703125" style="262"/>
    <col min="9505" max="9506" width="0" style="262" hidden="1" customWidth="1"/>
    <col min="9507" max="9513" width="3.5703125" style="262"/>
    <col min="9514" max="9514" width="5.5703125" style="262" bestFit="1" customWidth="1"/>
    <col min="9515" max="9516" width="3.5703125" style="262"/>
    <col min="9517" max="9517" width="6.5703125" style="262" bestFit="1" customWidth="1"/>
    <col min="9518" max="9518" width="3.5703125" style="262"/>
    <col min="9519" max="9519" width="5.5703125" style="262" bestFit="1" customWidth="1"/>
    <col min="9520" max="9731" width="3.5703125" style="262"/>
    <col min="9732" max="9732" width="11.42578125" style="262" customWidth="1"/>
    <col min="9733" max="9733" width="1.85546875" style="262" customWidth="1"/>
    <col min="9734" max="9737" width="5.42578125" style="262" customWidth="1"/>
    <col min="9738" max="9738" width="10.42578125" style="262" customWidth="1"/>
    <col min="9739" max="9739" width="7.85546875" style="262" customWidth="1"/>
    <col min="9740" max="9740" width="8.85546875" style="262" customWidth="1"/>
    <col min="9741" max="9741" width="8.42578125" style="262" customWidth="1"/>
    <col min="9742" max="9742" width="4.42578125" style="262" customWidth="1"/>
    <col min="9743" max="9744" width="4.140625" style="262" customWidth="1"/>
    <col min="9745" max="9745" width="6.85546875" style="262" customWidth="1"/>
    <col min="9746" max="9746" width="4.140625" style="262" customWidth="1"/>
    <col min="9747" max="9752" width="4.42578125" style="262" customWidth="1"/>
    <col min="9753" max="9753" width="7" style="262" customWidth="1"/>
    <col min="9754" max="9754" width="0" style="262" hidden="1" customWidth="1"/>
    <col min="9755" max="9758" width="3.5703125" style="262" customWidth="1"/>
    <col min="9759" max="9760" width="3.5703125" style="262"/>
    <col min="9761" max="9762" width="0" style="262" hidden="1" customWidth="1"/>
    <col min="9763" max="9769" width="3.5703125" style="262"/>
    <col min="9770" max="9770" width="5.5703125" style="262" bestFit="1" customWidth="1"/>
    <col min="9771" max="9772" width="3.5703125" style="262"/>
    <col min="9773" max="9773" width="6.5703125" style="262" bestFit="1" customWidth="1"/>
    <col min="9774" max="9774" width="3.5703125" style="262"/>
    <col min="9775" max="9775" width="5.5703125" style="262" bestFit="1" customWidth="1"/>
    <col min="9776" max="9987" width="3.5703125" style="262"/>
    <col min="9988" max="9988" width="11.42578125" style="262" customWidth="1"/>
    <col min="9989" max="9989" width="1.85546875" style="262" customWidth="1"/>
    <col min="9990" max="9993" width="5.42578125" style="262" customWidth="1"/>
    <col min="9994" max="9994" width="10.42578125" style="262" customWidth="1"/>
    <col min="9995" max="9995" width="7.85546875" style="262" customWidth="1"/>
    <col min="9996" max="9996" width="8.85546875" style="262" customWidth="1"/>
    <col min="9997" max="9997" width="8.42578125" style="262" customWidth="1"/>
    <col min="9998" max="9998" width="4.42578125" style="262" customWidth="1"/>
    <col min="9999" max="10000" width="4.140625" style="262" customWidth="1"/>
    <col min="10001" max="10001" width="6.85546875" style="262" customWidth="1"/>
    <col min="10002" max="10002" width="4.140625" style="262" customWidth="1"/>
    <col min="10003" max="10008" width="4.42578125" style="262" customWidth="1"/>
    <col min="10009" max="10009" width="7" style="262" customWidth="1"/>
    <col min="10010" max="10010" width="0" style="262" hidden="1" customWidth="1"/>
    <col min="10011" max="10014" width="3.5703125" style="262" customWidth="1"/>
    <col min="10015" max="10016" width="3.5703125" style="262"/>
    <col min="10017" max="10018" width="0" style="262" hidden="1" customWidth="1"/>
    <col min="10019" max="10025" width="3.5703125" style="262"/>
    <col min="10026" max="10026" width="5.5703125" style="262" bestFit="1" customWidth="1"/>
    <col min="10027" max="10028" width="3.5703125" style="262"/>
    <col min="10029" max="10029" width="6.5703125" style="262" bestFit="1" customWidth="1"/>
    <col min="10030" max="10030" width="3.5703125" style="262"/>
    <col min="10031" max="10031" width="5.5703125" style="262" bestFit="1" customWidth="1"/>
    <col min="10032" max="10243" width="3.5703125" style="262"/>
    <col min="10244" max="10244" width="11.42578125" style="262" customWidth="1"/>
    <col min="10245" max="10245" width="1.85546875" style="262" customWidth="1"/>
    <col min="10246" max="10249" width="5.42578125" style="262" customWidth="1"/>
    <col min="10250" max="10250" width="10.42578125" style="262" customWidth="1"/>
    <col min="10251" max="10251" width="7.85546875" style="262" customWidth="1"/>
    <col min="10252" max="10252" width="8.85546875" style="262" customWidth="1"/>
    <col min="10253" max="10253" width="8.42578125" style="262" customWidth="1"/>
    <col min="10254" max="10254" width="4.42578125" style="262" customWidth="1"/>
    <col min="10255" max="10256" width="4.140625" style="262" customWidth="1"/>
    <col min="10257" max="10257" width="6.85546875" style="262" customWidth="1"/>
    <col min="10258" max="10258" width="4.140625" style="262" customWidth="1"/>
    <col min="10259" max="10264" width="4.42578125" style="262" customWidth="1"/>
    <col min="10265" max="10265" width="7" style="262" customWidth="1"/>
    <col min="10266" max="10266" width="0" style="262" hidden="1" customWidth="1"/>
    <col min="10267" max="10270" width="3.5703125" style="262" customWidth="1"/>
    <col min="10271" max="10272" width="3.5703125" style="262"/>
    <col min="10273" max="10274" width="0" style="262" hidden="1" customWidth="1"/>
    <col min="10275" max="10281" width="3.5703125" style="262"/>
    <col min="10282" max="10282" width="5.5703125" style="262" bestFit="1" customWidth="1"/>
    <col min="10283" max="10284" width="3.5703125" style="262"/>
    <col min="10285" max="10285" width="6.5703125" style="262" bestFit="1" customWidth="1"/>
    <col min="10286" max="10286" width="3.5703125" style="262"/>
    <col min="10287" max="10287" width="5.5703125" style="262" bestFit="1" customWidth="1"/>
    <col min="10288" max="10499" width="3.5703125" style="262"/>
    <col min="10500" max="10500" width="11.42578125" style="262" customWidth="1"/>
    <col min="10501" max="10501" width="1.85546875" style="262" customWidth="1"/>
    <col min="10502" max="10505" width="5.42578125" style="262" customWidth="1"/>
    <col min="10506" max="10506" width="10.42578125" style="262" customWidth="1"/>
    <col min="10507" max="10507" width="7.85546875" style="262" customWidth="1"/>
    <col min="10508" max="10508" width="8.85546875" style="262" customWidth="1"/>
    <col min="10509" max="10509" width="8.42578125" style="262" customWidth="1"/>
    <col min="10510" max="10510" width="4.42578125" style="262" customWidth="1"/>
    <col min="10511" max="10512" width="4.140625" style="262" customWidth="1"/>
    <col min="10513" max="10513" width="6.85546875" style="262" customWidth="1"/>
    <col min="10514" max="10514" width="4.140625" style="262" customWidth="1"/>
    <col min="10515" max="10520" width="4.42578125" style="262" customWidth="1"/>
    <col min="10521" max="10521" width="7" style="262" customWidth="1"/>
    <col min="10522" max="10522" width="0" style="262" hidden="1" customWidth="1"/>
    <col min="10523" max="10526" width="3.5703125" style="262" customWidth="1"/>
    <col min="10527" max="10528" width="3.5703125" style="262"/>
    <col min="10529" max="10530" width="0" style="262" hidden="1" customWidth="1"/>
    <col min="10531" max="10537" width="3.5703125" style="262"/>
    <col min="10538" max="10538" width="5.5703125" style="262" bestFit="1" customWidth="1"/>
    <col min="10539" max="10540" width="3.5703125" style="262"/>
    <col min="10541" max="10541" width="6.5703125" style="262" bestFit="1" customWidth="1"/>
    <col min="10542" max="10542" width="3.5703125" style="262"/>
    <col min="10543" max="10543" width="5.5703125" style="262" bestFit="1" customWidth="1"/>
    <col min="10544" max="10755" width="3.5703125" style="262"/>
    <col min="10756" max="10756" width="11.42578125" style="262" customWidth="1"/>
    <col min="10757" max="10757" width="1.85546875" style="262" customWidth="1"/>
    <col min="10758" max="10761" width="5.42578125" style="262" customWidth="1"/>
    <col min="10762" max="10762" width="10.42578125" style="262" customWidth="1"/>
    <col min="10763" max="10763" width="7.85546875" style="262" customWidth="1"/>
    <col min="10764" max="10764" width="8.85546875" style="262" customWidth="1"/>
    <col min="10765" max="10765" width="8.42578125" style="262" customWidth="1"/>
    <col min="10766" max="10766" width="4.42578125" style="262" customWidth="1"/>
    <col min="10767" max="10768" width="4.140625" style="262" customWidth="1"/>
    <col min="10769" max="10769" width="6.85546875" style="262" customWidth="1"/>
    <col min="10770" max="10770" width="4.140625" style="262" customWidth="1"/>
    <col min="10771" max="10776" width="4.42578125" style="262" customWidth="1"/>
    <col min="10777" max="10777" width="7" style="262" customWidth="1"/>
    <col min="10778" max="10778" width="0" style="262" hidden="1" customWidth="1"/>
    <col min="10779" max="10782" width="3.5703125" style="262" customWidth="1"/>
    <col min="10783" max="10784" width="3.5703125" style="262"/>
    <col min="10785" max="10786" width="0" style="262" hidden="1" customWidth="1"/>
    <col min="10787" max="10793" width="3.5703125" style="262"/>
    <col min="10794" max="10794" width="5.5703125" style="262" bestFit="1" customWidth="1"/>
    <col min="10795" max="10796" width="3.5703125" style="262"/>
    <col min="10797" max="10797" width="6.5703125" style="262" bestFit="1" customWidth="1"/>
    <col min="10798" max="10798" width="3.5703125" style="262"/>
    <col min="10799" max="10799" width="5.5703125" style="262" bestFit="1" customWidth="1"/>
    <col min="10800" max="11011" width="3.5703125" style="262"/>
    <col min="11012" max="11012" width="11.42578125" style="262" customWidth="1"/>
    <col min="11013" max="11013" width="1.85546875" style="262" customWidth="1"/>
    <col min="11014" max="11017" width="5.42578125" style="262" customWidth="1"/>
    <col min="11018" max="11018" width="10.42578125" style="262" customWidth="1"/>
    <col min="11019" max="11019" width="7.85546875" style="262" customWidth="1"/>
    <col min="11020" max="11020" width="8.85546875" style="262" customWidth="1"/>
    <col min="11021" max="11021" width="8.42578125" style="262" customWidth="1"/>
    <col min="11022" max="11022" width="4.42578125" style="262" customWidth="1"/>
    <col min="11023" max="11024" width="4.140625" style="262" customWidth="1"/>
    <col min="11025" max="11025" width="6.85546875" style="262" customWidth="1"/>
    <col min="11026" max="11026" width="4.140625" style="262" customWidth="1"/>
    <col min="11027" max="11032" width="4.42578125" style="262" customWidth="1"/>
    <col min="11033" max="11033" width="7" style="262" customWidth="1"/>
    <col min="11034" max="11034" width="0" style="262" hidden="1" customWidth="1"/>
    <col min="11035" max="11038" width="3.5703125" style="262" customWidth="1"/>
    <col min="11039" max="11040" width="3.5703125" style="262"/>
    <col min="11041" max="11042" width="0" style="262" hidden="1" customWidth="1"/>
    <col min="11043" max="11049" width="3.5703125" style="262"/>
    <col min="11050" max="11050" width="5.5703125" style="262" bestFit="1" customWidth="1"/>
    <col min="11051" max="11052" width="3.5703125" style="262"/>
    <col min="11053" max="11053" width="6.5703125" style="262" bestFit="1" customWidth="1"/>
    <col min="11054" max="11054" width="3.5703125" style="262"/>
    <col min="11055" max="11055" width="5.5703125" style="262" bestFit="1" customWidth="1"/>
    <col min="11056" max="11267" width="3.5703125" style="262"/>
    <col min="11268" max="11268" width="11.42578125" style="262" customWidth="1"/>
    <col min="11269" max="11269" width="1.85546875" style="262" customWidth="1"/>
    <col min="11270" max="11273" width="5.42578125" style="262" customWidth="1"/>
    <col min="11274" max="11274" width="10.42578125" style="262" customWidth="1"/>
    <col min="11275" max="11275" width="7.85546875" style="262" customWidth="1"/>
    <col min="11276" max="11276" width="8.85546875" style="262" customWidth="1"/>
    <col min="11277" max="11277" width="8.42578125" style="262" customWidth="1"/>
    <col min="11278" max="11278" width="4.42578125" style="262" customWidth="1"/>
    <col min="11279" max="11280" width="4.140625" style="262" customWidth="1"/>
    <col min="11281" max="11281" width="6.85546875" style="262" customWidth="1"/>
    <col min="11282" max="11282" width="4.140625" style="262" customWidth="1"/>
    <col min="11283" max="11288" width="4.42578125" style="262" customWidth="1"/>
    <col min="11289" max="11289" width="7" style="262" customWidth="1"/>
    <col min="11290" max="11290" width="0" style="262" hidden="1" customWidth="1"/>
    <col min="11291" max="11294" width="3.5703125" style="262" customWidth="1"/>
    <col min="11295" max="11296" width="3.5703125" style="262"/>
    <col min="11297" max="11298" width="0" style="262" hidden="1" customWidth="1"/>
    <col min="11299" max="11305" width="3.5703125" style="262"/>
    <col min="11306" max="11306" width="5.5703125" style="262" bestFit="1" customWidth="1"/>
    <col min="11307" max="11308" width="3.5703125" style="262"/>
    <col min="11309" max="11309" width="6.5703125" style="262" bestFit="1" customWidth="1"/>
    <col min="11310" max="11310" width="3.5703125" style="262"/>
    <col min="11311" max="11311" width="5.5703125" style="262" bestFit="1" customWidth="1"/>
    <col min="11312" max="11523" width="3.5703125" style="262"/>
    <col min="11524" max="11524" width="11.42578125" style="262" customWidth="1"/>
    <col min="11525" max="11525" width="1.85546875" style="262" customWidth="1"/>
    <col min="11526" max="11529" width="5.42578125" style="262" customWidth="1"/>
    <col min="11530" max="11530" width="10.42578125" style="262" customWidth="1"/>
    <col min="11531" max="11531" width="7.85546875" style="262" customWidth="1"/>
    <col min="11532" max="11532" width="8.85546875" style="262" customWidth="1"/>
    <col min="11533" max="11533" width="8.42578125" style="262" customWidth="1"/>
    <col min="11534" max="11534" width="4.42578125" style="262" customWidth="1"/>
    <col min="11535" max="11536" width="4.140625" style="262" customWidth="1"/>
    <col min="11537" max="11537" width="6.85546875" style="262" customWidth="1"/>
    <col min="11538" max="11538" width="4.140625" style="262" customWidth="1"/>
    <col min="11539" max="11544" width="4.42578125" style="262" customWidth="1"/>
    <col min="11545" max="11545" width="7" style="262" customWidth="1"/>
    <col min="11546" max="11546" width="0" style="262" hidden="1" customWidth="1"/>
    <col min="11547" max="11550" width="3.5703125" style="262" customWidth="1"/>
    <col min="11551" max="11552" width="3.5703125" style="262"/>
    <col min="11553" max="11554" width="0" style="262" hidden="1" customWidth="1"/>
    <col min="11555" max="11561" width="3.5703125" style="262"/>
    <col min="11562" max="11562" width="5.5703125" style="262" bestFit="1" customWidth="1"/>
    <col min="11563" max="11564" width="3.5703125" style="262"/>
    <col min="11565" max="11565" width="6.5703125" style="262" bestFit="1" customWidth="1"/>
    <col min="11566" max="11566" width="3.5703125" style="262"/>
    <col min="11567" max="11567" width="5.5703125" style="262" bestFit="1" customWidth="1"/>
    <col min="11568" max="11779" width="3.5703125" style="262"/>
    <col min="11780" max="11780" width="11.42578125" style="262" customWidth="1"/>
    <col min="11781" max="11781" width="1.85546875" style="262" customWidth="1"/>
    <col min="11782" max="11785" width="5.42578125" style="262" customWidth="1"/>
    <col min="11786" max="11786" width="10.42578125" style="262" customWidth="1"/>
    <col min="11787" max="11787" width="7.85546875" style="262" customWidth="1"/>
    <col min="11788" max="11788" width="8.85546875" style="262" customWidth="1"/>
    <col min="11789" max="11789" width="8.42578125" style="262" customWidth="1"/>
    <col min="11790" max="11790" width="4.42578125" style="262" customWidth="1"/>
    <col min="11791" max="11792" width="4.140625" style="262" customWidth="1"/>
    <col min="11793" max="11793" width="6.85546875" style="262" customWidth="1"/>
    <col min="11794" max="11794" width="4.140625" style="262" customWidth="1"/>
    <col min="11795" max="11800" width="4.42578125" style="262" customWidth="1"/>
    <col min="11801" max="11801" width="7" style="262" customWidth="1"/>
    <col min="11802" max="11802" width="0" style="262" hidden="1" customWidth="1"/>
    <col min="11803" max="11806" width="3.5703125" style="262" customWidth="1"/>
    <col min="11807" max="11808" width="3.5703125" style="262"/>
    <col min="11809" max="11810" width="0" style="262" hidden="1" customWidth="1"/>
    <col min="11811" max="11817" width="3.5703125" style="262"/>
    <col min="11818" max="11818" width="5.5703125" style="262" bestFit="1" customWidth="1"/>
    <col min="11819" max="11820" width="3.5703125" style="262"/>
    <col min="11821" max="11821" width="6.5703125" style="262" bestFit="1" customWidth="1"/>
    <col min="11822" max="11822" width="3.5703125" style="262"/>
    <col min="11823" max="11823" width="5.5703125" style="262" bestFit="1" customWidth="1"/>
    <col min="11824" max="12035" width="3.5703125" style="262"/>
    <col min="12036" max="12036" width="11.42578125" style="262" customWidth="1"/>
    <col min="12037" max="12037" width="1.85546875" style="262" customWidth="1"/>
    <col min="12038" max="12041" width="5.42578125" style="262" customWidth="1"/>
    <col min="12042" max="12042" width="10.42578125" style="262" customWidth="1"/>
    <col min="12043" max="12043" width="7.85546875" style="262" customWidth="1"/>
    <col min="12044" max="12044" width="8.85546875" style="262" customWidth="1"/>
    <col min="12045" max="12045" width="8.42578125" style="262" customWidth="1"/>
    <col min="12046" max="12046" width="4.42578125" style="262" customWidth="1"/>
    <col min="12047" max="12048" width="4.140625" style="262" customWidth="1"/>
    <col min="12049" max="12049" width="6.85546875" style="262" customWidth="1"/>
    <col min="12050" max="12050" width="4.140625" style="262" customWidth="1"/>
    <col min="12051" max="12056" width="4.42578125" style="262" customWidth="1"/>
    <col min="12057" max="12057" width="7" style="262" customWidth="1"/>
    <col min="12058" max="12058" width="0" style="262" hidden="1" customWidth="1"/>
    <col min="12059" max="12062" width="3.5703125" style="262" customWidth="1"/>
    <col min="12063" max="12064" width="3.5703125" style="262"/>
    <col min="12065" max="12066" width="0" style="262" hidden="1" customWidth="1"/>
    <col min="12067" max="12073" width="3.5703125" style="262"/>
    <col min="12074" max="12074" width="5.5703125" style="262" bestFit="1" customWidth="1"/>
    <col min="12075" max="12076" width="3.5703125" style="262"/>
    <col min="12077" max="12077" width="6.5703125" style="262" bestFit="1" customWidth="1"/>
    <col min="12078" max="12078" width="3.5703125" style="262"/>
    <col min="12079" max="12079" width="5.5703125" style="262" bestFit="1" customWidth="1"/>
    <col min="12080" max="12291" width="3.5703125" style="262"/>
    <col min="12292" max="12292" width="11.42578125" style="262" customWidth="1"/>
    <col min="12293" max="12293" width="1.85546875" style="262" customWidth="1"/>
    <col min="12294" max="12297" width="5.42578125" style="262" customWidth="1"/>
    <col min="12298" max="12298" width="10.42578125" style="262" customWidth="1"/>
    <col min="12299" max="12299" width="7.85546875" style="262" customWidth="1"/>
    <col min="12300" max="12300" width="8.85546875" style="262" customWidth="1"/>
    <col min="12301" max="12301" width="8.42578125" style="262" customWidth="1"/>
    <col min="12302" max="12302" width="4.42578125" style="262" customWidth="1"/>
    <col min="12303" max="12304" width="4.140625" style="262" customWidth="1"/>
    <col min="12305" max="12305" width="6.85546875" style="262" customWidth="1"/>
    <col min="12306" max="12306" width="4.140625" style="262" customWidth="1"/>
    <col min="12307" max="12312" width="4.42578125" style="262" customWidth="1"/>
    <col min="12313" max="12313" width="7" style="262" customWidth="1"/>
    <col min="12314" max="12314" width="0" style="262" hidden="1" customWidth="1"/>
    <col min="12315" max="12318" width="3.5703125" style="262" customWidth="1"/>
    <col min="12319" max="12320" width="3.5703125" style="262"/>
    <col min="12321" max="12322" width="0" style="262" hidden="1" customWidth="1"/>
    <col min="12323" max="12329" width="3.5703125" style="262"/>
    <col min="12330" max="12330" width="5.5703125" style="262" bestFit="1" customWidth="1"/>
    <col min="12331" max="12332" width="3.5703125" style="262"/>
    <col min="12333" max="12333" width="6.5703125" style="262" bestFit="1" customWidth="1"/>
    <col min="12334" max="12334" width="3.5703125" style="262"/>
    <col min="12335" max="12335" width="5.5703125" style="262" bestFit="1" customWidth="1"/>
    <col min="12336" max="12547" width="3.5703125" style="262"/>
    <col min="12548" max="12548" width="11.42578125" style="262" customWidth="1"/>
    <col min="12549" max="12549" width="1.85546875" style="262" customWidth="1"/>
    <col min="12550" max="12553" width="5.42578125" style="262" customWidth="1"/>
    <col min="12554" max="12554" width="10.42578125" style="262" customWidth="1"/>
    <col min="12555" max="12555" width="7.85546875" style="262" customWidth="1"/>
    <col min="12556" max="12556" width="8.85546875" style="262" customWidth="1"/>
    <col min="12557" max="12557" width="8.42578125" style="262" customWidth="1"/>
    <col min="12558" max="12558" width="4.42578125" style="262" customWidth="1"/>
    <col min="12559" max="12560" width="4.140625" style="262" customWidth="1"/>
    <col min="12561" max="12561" width="6.85546875" style="262" customWidth="1"/>
    <col min="12562" max="12562" width="4.140625" style="262" customWidth="1"/>
    <col min="12563" max="12568" width="4.42578125" style="262" customWidth="1"/>
    <col min="12569" max="12569" width="7" style="262" customWidth="1"/>
    <col min="12570" max="12570" width="0" style="262" hidden="1" customWidth="1"/>
    <col min="12571" max="12574" width="3.5703125" style="262" customWidth="1"/>
    <col min="12575" max="12576" width="3.5703125" style="262"/>
    <col min="12577" max="12578" width="0" style="262" hidden="1" customWidth="1"/>
    <col min="12579" max="12585" width="3.5703125" style="262"/>
    <col min="12586" max="12586" width="5.5703125" style="262" bestFit="1" customWidth="1"/>
    <col min="12587" max="12588" width="3.5703125" style="262"/>
    <col min="12589" max="12589" width="6.5703125" style="262" bestFit="1" customWidth="1"/>
    <col min="12590" max="12590" width="3.5703125" style="262"/>
    <col min="12591" max="12591" width="5.5703125" style="262" bestFit="1" customWidth="1"/>
    <col min="12592" max="12803" width="3.5703125" style="262"/>
    <col min="12804" max="12804" width="11.42578125" style="262" customWidth="1"/>
    <col min="12805" max="12805" width="1.85546875" style="262" customWidth="1"/>
    <col min="12806" max="12809" width="5.42578125" style="262" customWidth="1"/>
    <col min="12810" max="12810" width="10.42578125" style="262" customWidth="1"/>
    <col min="12811" max="12811" width="7.85546875" style="262" customWidth="1"/>
    <col min="12812" max="12812" width="8.85546875" style="262" customWidth="1"/>
    <col min="12813" max="12813" width="8.42578125" style="262" customWidth="1"/>
    <col min="12814" max="12814" width="4.42578125" style="262" customWidth="1"/>
    <col min="12815" max="12816" width="4.140625" style="262" customWidth="1"/>
    <col min="12817" max="12817" width="6.85546875" style="262" customWidth="1"/>
    <col min="12818" max="12818" width="4.140625" style="262" customWidth="1"/>
    <col min="12819" max="12824" width="4.42578125" style="262" customWidth="1"/>
    <col min="12825" max="12825" width="7" style="262" customWidth="1"/>
    <col min="12826" max="12826" width="0" style="262" hidden="1" customWidth="1"/>
    <col min="12827" max="12830" width="3.5703125" style="262" customWidth="1"/>
    <col min="12831" max="12832" width="3.5703125" style="262"/>
    <col min="12833" max="12834" width="0" style="262" hidden="1" customWidth="1"/>
    <col min="12835" max="12841" width="3.5703125" style="262"/>
    <col min="12842" max="12842" width="5.5703125" style="262" bestFit="1" customWidth="1"/>
    <col min="12843" max="12844" width="3.5703125" style="262"/>
    <col min="12845" max="12845" width="6.5703125" style="262" bestFit="1" customWidth="1"/>
    <col min="12846" max="12846" width="3.5703125" style="262"/>
    <col min="12847" max="12847" width="5.5703125" style="262" bestFit="1" customWidth="1"/>
    <col min="12848" max="13059" width="3.5703125" style="262"/>
    <col min="13060" max="13060" width="11.42578125" style="262" customWidth="1"/>
    <col min="13061" max="13061" width="1.85546875" style="262" customWidth="1"/>
    <col min="13062" max="13065" width="5.42578125" style="262" customWidth="1"/>
    <col min="13066" max="13066" width="10.42578125" style="262" customWidth="1"/>
    <col min="13067" max="13067" width="7.85546875" style="262" customWidth="1"/>
    <col min="13068" max="13068" width="8.85546875" style="262" customWidth="1"/>
    <col min="13069" max="13069" width="8.42578125" style="262" customWidth="1"/>
    <col min="13070" max="13070" width="4.42578125" style="262" customWidth="1"/>
    <col min="13071" max="13072" width="4.140625" style="262" customWidth="1"/>
    <col min="13073" max="13073" width="6.85546875" style="262" customWidth="1"/>
    <col min="13074" max="13074" width="4.140625" style="262" customWidth="1"/>
    <col min="13075" max="13080" width="4.42578125" style="262" customWidth="1"/>
    <col min="13081" max="13081" width="7" style="262" customWidth="1"/>
    <col min="13082" max="13082" width="0" style="262" hidden="1" customWidth="1"/>
    <col min="13083" max="13086" width="3.5703125" style="262" customWidth="1"/>
    <col min="13087" max="13088" width="3.5703125" style="262"/>
    <col min="13089" max="13090" width="0" style="262" hidden="1" customWidth="1"/>
    <col min="13091" max="13097" width="3.5703125" style="262"/>
    <col min="13098" max="13098" width="5.5703125" style="262" bestFit="1" customWidth="1"/>
    <col min="13099" max="13100" width="3.5703125" style="262"/>
    <col min="13101" max="13101" width="6.5703125" style="262" bestFit="1" customWidth="1"/>
    <col min="13102" max="13102" width="3.5703125" style="262"/>
    <col min="13103" max="13103" width="5.5703125" style="262" bestFit="1" customWidth="1"/>
    <col min="13104" max="13315" width="3.5703125" style="262"/>
    <col min="13316" max="13316" width="11.42578125" style="262" customWidth="1"/>
    <col min="13317" max="13317" width="1.85546875" style="262" customWidth="1"/>
    <col min="13318" max="13321" width="5.42578125" style="262" customWidth="1"/>
    <col min="13322" max="13322" width="10.42578125" style="262" customWidth="1"/>
    <col min="13323" max="13323" width="7.85546875" style="262" customWidth="1"/>
    <col min="13324" max="13324" width="8.85546875" style="262" customWidth="1"/>
    <col min="13325" max="13325" width="8.42578125" style="262" customWidth="1"/>
    <col min="13326" max="13326" width="4.42578125" style="262" customWidth="1"/>
    <col min="13327" max="13328" width="4.140625" style="262" customWidth="1"/>
    <col min="13329" max="13329" width="6.85546875" style="262" customWidth="1"/>
    <col min="13330" max="13330" width="4.140625" style="262" customWidth="1"/>
    <col min="13331" max="13336" width="4.42578125" style="262" customWidth="1"/>
    <col min="13337" max="13337" width="7" style="262" customWidth="1"/>
    <col min="13338" max="13338" width="0" style="262" hidden="1" customWidth="1"/>
    <col min="13339" max="13342" width="3.5703125" style="262" customWidth="1"/>
    <col min="13343" max="13344" width="3.5703125" style="262"/>
    <col min="13345" max="13346" width="0" style="262" hidden="1" customWidth="1"/>
    <col min="13347" max="13353" width="3.5703125" style="262"/>
    <col min="13354" max="13354" width="5.5703125" style="262" bestFit="1" customWidth="1"/>
    <col min="13355" max="13356" width="3.5703125" style="262"/>
    <col min="13357" max="13357" width="6.5703125" style="262" bestFit="1" customWidth="1"/>
    <col min="13358" max="13358" width="3.5703125" style="262"/>
    <col min="13359" max="13359" width="5.5703125" style="262" bestFit="1" customWidth="1"/>
    <col min="13360" max="13571" width="3.5703125" style="262"/>
    <col min="13572" max="13572" width="11.42578125" style="262" customWidth="1"/>
    <col min="13573" max="13573" width="1.85546875" style="262" customWidth="1"/>
    <col min="13574" max="13577" width="5.42578125" style="262" customWidth="1"/>
    <col min="13578" max="13578" width="10.42578125" style="262" customWidth="1"/>
    <col min="13579" max="13579" width="7.85546875" style="262" customWidth="1"/>
    <col min="13580" max="13580" width="8.85546875" style="262" customWidth="1"/>
    <col min="13581" max="13581" width="8.42578125" style="262" customWidth="1"/>
    <col min="13582" max="13582" width="4.42578125" style="262" customWidth="1"/>
    <col min="13583" max="13584" width="4.140625" style="262" customWidth="1"/>
    <col min="13585" max="13585" width="6.85546875" style="262" customWidth="1"/>
    <col min="13586" max="13586" width="4.140625" style="262" customWidth="1"/>
    <col min="13587" max="13592" width="4.42578125" style="262" customWidth="1"/>
    <col min="13593" max="13593" width="7" style="262" customWidth="1"/>
    <col min="13594" max="13594" width="0" style="262" hidden="1" customWidth="1"/>
    <col min="13595" max="13598" width="3.5703125" style="262" customWidth="1"/>
    <col min="13599" max="13600" width="3.5703125" style="262"/>
    <col min="13601" max="13602" width="0" style="262" hidden="1" customWidth="1"/>
    <col min="13603" max="13609" width="3.5703125" style="262"/>
    <col min="13610" max="13610" width="5.5703125" style="262" bestFit="1" customWidth="1"/>
    <col min="13611" max="13612" width="3.5703125" style="262"/>
    <col min="13613" max="13613" width="6.5703125" style="262" bestFit="1" customWidth="1"/>
    <col min="13614" max="13614" width="3.5703125" style="262"/>
    <col min="13615" max="13615" width="5.5703125" style="262" bestFit="1" customWidth="1"/>
    <col min="13616" max="13827" width="3.5703125" style="262"/>
    <col min="13828" max="13828" width="11.42578125" style="262" customWidth="1"/>
    <col min="13829" max="13829" width="1.85546875" style="262" customWidth="1"/>
    <col min="13830" max="13833" width="5.42578125" style="262" customWidth="1"/>
    <col min="13834" max="13834" width="10.42578125" style="262" customWidth="1"/>
    <col min="13835" max="13835" width="7.85546875" style="262" customWidth="1"/>
    <col min="13836" max="13836" width="8.85546875" style="262" customWidth="1"/>
    <col min="13837" max="13837" width="8.42578125" style="262" customWidth="1"/>
    <col min="13838" max="13838" width="4.42578125" style="262" customWidth="1"/>
    <col min="13839" max="13840" width="4.140625" style="262" customWidth="1"/>
    <col min="13841" max="13841" width="6.85546875" style="262" customWidth="1"/>
    <col min="13842" max="13842" width="4.140625" style="262" customWidth="1"/>
    <col min="13843" max="13848" width="4.42578125" style="262" customWidth="1"/>
    <col min="13849" max="13849" width="7" style="262" customWidth="1"/>
    <col min="13850" max="13850" width="0" style="262" hidden="1" customWidth="1"/>
    <col min="13851" max="13854" width="3.5703125" style="262" customWidth="1"/>
    <col min="13855" max="13856" width="3.5703125" style="262"/>
    <col min="13857" max="13858" width="0" style="262" hidden="1" customWidth="1"/>
    <col min="13859" max="13865" width="3.5703125" style="262"/>
    <col min="13866" max="13866" width="5.5703125" style="262" bestFit="1" customWidth="1"/>
    <col min="13867" max="13868" width="3.5703125" style="262"/>
    <col min="13869" max="13869" width="6.5703125" style="262" bestFit="1" customWidth="1"/>
    <col min="13870" max="13870" width="3.5703125" style="262"/>
    <col min="13871" max="13871" width="5.5703125" style="262" bestFit="1" customWidth="1"/>
    <col min="13872" max="14083" width="3.5703125" style="262"/>
    <col min="14084" max="14084" width="11.42578125" style="262" customWidth="1"/>
    <col min="14085" max="14085" width="1.85546875" style="262" customWidth="1"/>
    <col min="14086" max="14089" width="5.42578125" style="262" customWidth="1"/>
    <col min="14090" max="14090" width="10.42578125" style="262" customWidth="1"/>
    <col min="14091" max="14091" width="7.85546875" style="262" customWidth="1"/>
    <col min="14092" max="14092" width="8.85546875" style="262" customWidth="1"/>
    <col min="14093" max="14093" width="8.42578125" style="262" customWidth="1"/>
    <col min="14094" max="14094" width="4.42578125" style="262" customWidth="1"/>
    <col min="14095" max="14096" width="4.140625" style="262" customWidth="1"/>
    <col min="14097" max="14097" width="6.85546875" style="262" customWidth="1"/>
    <col min="14098" max="14098" width="4.140625" style="262" customWidth="1"/>
    <col min="14099" max="14104" width="4.42578125" style="262" customWidth="1"/>
    <col min="14105" max="14105" width="7" style="262" customWidth="1"/>
    <col min="14106" max="14106" width="0" style="262" hidden="1" customWidth="1"/>
    <col min="14107" max="14110" width="3.5703125" style="262" customWidth="1"/>
    <col min="14111" max="14112" width="3.5703125" style="262"/>
    <col min="14113" max="14114" width="0" style="262" hidden="1" customWidth="1"/>
    <col min="14115" max="14121" width="3.5703125" style="262"/>
    <col min="14122" max="14122" width="5.5703125" style="262" bestFit="1" customWidth="1"/>
    <col min="14123" max="14124" width="3.5703125" style="262"/>
    <col min="14125" max="14125" width="6.5703125" style="262" bestFit="1" customWidth="1"/>
    <col min="14126" max="14126" width="3.5703125" style="262"/>
    <col min="14127" max="14127" width="5.5703125" style="262" bestFit="1" customWidth="1"/>
    <col min="14128" max="14339" width="3.5703125" style="262"/>
    <col min="14340" max="14340" width="11.42578125" style="262" customWidth="1"/>
    <col min="14341" max="14341" width="1.85546875" style="262" customWidth="1"/>
    <col min="14342" max="14345" width="5.42578125" style="262" customWidth="1"/>
    <col min="14346" max="14346" width="10.42578125" style="262" customWidth="1"/>
    <col min="14347" max="14347" width="7.85546875" style="262" customWidth="1"/>
    <col min="14348" max="14348" width="8.85546875" style="262" customWidth="1"/>
    <col min="14349" max="14349" width="8.42578125" style="262" customWidth="1"/>
    <col min="14350" max="14350" width="4.42578125" style="262" customWidth="1"/>
    <col min="14351" max="14352" width="4.140625" style="262" customWidth="1"/>
    <col min="14353" max="14353" width="6.85546875" style="262" customWidth="1"/>
    <col min="14354" max="14354" width="4.140625" style="262" customWidth="1"/>
    <col min="14355" max="14360" width="4.42578125" style="262" customWidth="1"/>
    <col min="14361" max="14361" width="7" style="262" customWidth="1"/>
    <col min="14362" max="14362" width="0" style="262" hidden="1" customWidth="1"/>
    <col min="14363" max="14366" width="3.5703125" style="262" customWidth="1"/>
    <col min="14367" max="14368" width="3.5703125" style="262"/>
    <col min="14369" max="14370" width="0" style="262" hidden="1" customWidth="1"/>
    <col min="14371" max="14377" width="3.5703125" style="262"/>
    <col min="14378" max="14378" width="5.5703125" style="262" bestFit="1" customWidth="1"/>
    <col min="14379" max="14380" width="3.5703125" style="262"/>
    <col min="14381" max="14381" width="6.5703125" style="262" bestFit="1" customWidth="1"/>
    <col min="14382" max="14382" width="3.5703125" style="262"/>
    <col min="14383" max="14383" width="5.5703125" style="262" bestFit="1" customWidth="1"/>
    <col min="14384" max="14595" width="3.5703125" style="262"/>
    <col min="14596" max="14596" width="11.42578125" style="262" customWidth="1"/>
    <col min="14597" max="14597" width="1.85546875" style="262" customWidth="1"/>
    <col min="14598" max="14601" width="5.42578125" style="262" customWidth="1"/>
    <col min="14602" max="14602" width="10.42578125" style="262" customWidth="1"/>
    <col min="14603" max="14603" width="7.85546875" style="262" customWidth="1"/>
    <col min="14604" max="14604" width="8.85546875" style="262" customWidth="1"/>
    <col min="14605" max="14605" width="8.42578125" style="262" customWidth="1"/>
    <col min="14606" max="14606" width="4.42578125" style="262" customWidth="1"/>
    <col min="14607" max="14608" width="4.140625" style="262" customWidth="1"/>
    <col min="14609" max="14609" width="6.85546875" style="262" customWidth="1"/>
    <col min="14610" max="14610" width="4.140625" style="262" customWidth="1"/>
    <col min="14611" max="14616" width="4.42578125" style="262" customWidth="1"/>
    <col min="14617" max="14617" width="7" style="262" customWidth="1"/>
    <col min="14618" max="14618" width="0" style="262" hidden="1" customWidth="1"/>
    <col min="14619" max="14622" width="3.5703125" style="262" customWidth="1"/>
    <col min="14623" max="14624" width="3.5703125" style="262"/>
    <col min="14625" max="14626" width="0" style="262" hidden="1" customWidth="1"/>
    <col min="14627" max="14633" width="3.5703125" style="262"/>
    <col min="14634" max="14634" width="5.5703125" style="262" bestFit="1" customWidth="1"/>
    <col min="14635" max="14636" width="3.5703125" style="262"/>
    <col min="14637" max="14637" width="6.5703125" style="262" bestFit="1" customWidth="1"/>
    <col min="14638" max="14638" width="3.5703125" style="262"/>
    <col min="14639" max="14639" width="5.5703125" style="262" bestFit="1" customWidth="1"/>
    <col min="14640" max="14851" width="3.5703125" style="262"/>
    <col min="14852" max="14852" width="11.42578125" style="262" customWidth="1"/>
    <col min="14853" max="14853" width="1.85546875" style="262" customWidth="1"/>
    <col min="14854" max="14857" width="5.42578125" style="262" customWidth="1"/>
    <col min="14858" max="14858" width="10.42578125" style="262" customWidth="1"/>
    <col min="14859" max="14859" width="7.85546875" style="262" customWidth="1"/>
    <col min="14860" max="14860" width="8.85546875" style="262" customWidth="1"/>
    <col min="14861" max="14861" width="8.42578125" style="262" customWidth="1"/>
    <col min="14862" max="14862" width="4.42578125" style="262" customWidth="1"/>
    <col min="14863" max="14864" width="4.140625" style="262" customWidth="1"/>
    <col min="14865" max="14865" width="6.85546875" style="262" customWidth="1"/>
    <col min="14866" max="14866" width="4.140625" style="262" customWidth="1"/>
    <col min="14867" max="14872" width="4.42578125" style="262" customWidth="1"/>
    <col min="14873" max="14873" width="7" style="262" customWidth="1"/>
    <col min="14874" max="14874" width="0" style="262" hidden="1" customWidth="1"/>
    <col min="14875" max="14878" width="3.5703125" style="262" customWidth="1"/>
    <col min="14879" max="14880" width="3.5703125" style="262"/>
    <col min="14881" max="14882" width="0" style="262" hidden="1" customWidth="1"/>
    <col min="14883" max="14889" width="3.5703125" style="262"/>
    <col min="14890" max="14890" width="5.5703125" style="262" bestFit="1" customWidth="1"/>
    <col min="14891" max="14892" width="3.5703125" style="262"/>
    <col min="14893" max="14893" width="6.5703125" style="262" bestFit="1" customWidth="1"/>
    <col min="14894" max="14894" width="3.5703125" style="262"/>
    <col min="14895" max="14895" width="5.5703125" style="262" bestFit="1" customWidth="1"/>
    <col min="14896" max="15107" width="3.5703125" style="262"/>
    <col min="15108" max="15108" width="11.42578125" style="262" customWidth="1"/>
    <col min="15109" max="15109" width="1.85546875" style="262" customWidth="1"/>
    <col min="15110" max="15113" width="5.42578125" style="262" customWidth="1"/>
    <col min="15114" max="15114" width="10.42578125" style="262" customWidth="1"/>
    <col min="15115" max="15115" width="7.85546875" style="262" customWidth="1"/>
    <col min="15116" max="15116" width="8.85546875" style="262" customWidth="1"/>
    <col min="15117" max="15117" width="8.42578125" style="262" customWidth="1"/>
    <col min="15118" max="15118" width="4.42578125" style="262" customWidth="1"/>
    <col min="15119" max="15120" width="4.140625" style="262" customWidth="1"/>
    <col min="15121" max="15121" width="6.85546875" style="262" customWidth="1"/>
    <col min="15122" max="15122" width="4.140625" style="262" customWidth="1"/>
    <col min="15123" max="15128" width="4.42578125" style="262" customWidth="1"/>
    <col min="15129" max="15129" width="7" style="262" customWidth="1"/>
    <col min="15130" max="15130" width="0" style="262" hidden="1" customWidth="1"/>
    <col min="15131" max="15134" width="3.5703125" style="262" customWidth="1"/>
    <col min="15135" max="15136" width="3.5703125" style="262"/>
    <col min="15137" max="15138" width="0" style="262" hidden="1" customWidth="1"/>
    <col min="15139" max="15145" width="3.5703125" style="262"/>
    <col min="15146" max="15146" width="5.5703125" style="262" bestFit="1" customWidth="1"/>
    <col min="15147" max="15148" width="3.5703125" style="262"/>
    <col min="15149" max="15149" width="6.5703125" style="262" bestFit="1" customWidth="1"/>
    <col min="15150" max="15150" width="3.5703125" style="262"/>
    <col min="15151" max="15151" width="5.5703125" style="262" bestFit="1" customWidth="1"/>
    <col min="15152" max="15363" width="3.5703125" style="262"/>
    <col min="15364" max="15364" width="11.42578125" style="262" customWidth="1"/>
    <col min="15365" max="15365" width="1.85546875" style="262" customWidth="1"/>
    <col min="15366" max="15369" width="5.42578125" style="262" customWidth="1"/>
    <col min="15370" max="15370" width="10.42578125" style="262" customWidth="1"/>
    <col min="15371" max="15371" width="7.85546875" style="262" customWidth="1"/>
    <col min="15372" max="15372" width="8.85546875" style="262" customWidth="1"/>
    <col min="15373" max="15373" width="8.42578125" style="262" customWidth="1"/>
    <col min="15374" max="15374" width="4.42578125" style="262" customWidth="1"/>
    <col min="15375" max="15376" width="4.140625" style="262" customWidth="1"/>
    <col min="15377" max="15377" width="6.85546875" style="262" customWidth="1"/>
    <col min="15378" max="15378" width="4.140625" style="262" customWidth="1"/>
    <col min="15379" max="15384" width="4.42578125" style="262" customWidth="1"/>
    <col min="15385" max="15385" width="7" style="262" customWidth="1"/>
    <col min="15386" max="15386" width="0" style="262" hidden="1" customWidth="1"/>
    <col min="15387" max="15390" width="3.5703125" style="262" customWidth="1"/>
    <col min="15391" max="15392" width="3.5703125" style="262"/>
    <col min="15393" max="15394" width="0" style="262" hidden="1" customWidth="1"/>
    <col min="15395" max="15401" width="3.5703125" style="262"/>
    <col min="15402" max="15402" width="5.5703125" style="262" bestFit="1" customWidth="1"/>
    <col min="15403" max="15404" width="3.5703125" style="262"/>
    <col min="15405" max="15405" width="6.5703125" style="262" bestFit="1" customWidth="1"/>
    <col min="15406" max="15406" width="3.5703125" style="262"/>
    <col min="15407" max="15407" width="5.5703125" style="262" bestFit="1" customWidth="1"/>
    <col min="15408" max="15619" width="3.5703125" style="262"/>
    <col min="15620" max="15620" width="11.42578125" style="262" customWidth="1"/>
    <col min="15621" max="15621" width="1.85546875" style="262" customWidth="1"/>
    <col min="15622" max="15625" width="5.42578125" style="262" customWidth="1"/>
    <col min="15626" max="15626" width="10.42578125" style="262" customWidth="1"/>
    <col min="15627" max="15627" width="7.85546875" style="262" customWidth="1"/>
    <col min="15628" max="15628" width="8.85546875" style="262" customWidth="1"/>
    <col min="15629" max="15629" width="8.42578125" style="262" customWidth="1"/>
    <col min="15630" max="15630" width="4.42578125" style="262" customWidth="1"/>
    <col min="15631" max="15632" width="4.140625" style="262" customWidth="1"/>
    <col min="15633" max="15633" width="6.85546875" style="262" customWidth="1"/>
    <col min="15634" max="15634" width="4.140625" style="262" customWidth="1"/>
    <col min="15635" max="15640" width="4.42578125" style="262" customWidth="1"/>
    <col min="15641" max="15641" width="7" style="262" customWidth="1"/>
    <col min="15642" max="15642" width="0" style="262" hidden="1" customWidth="1"/>
    <col min="15643" max="15646" width="3.5703125" style="262" customWidth="1"/>
    <col min="15647" max="15648" width="3.5703125" style="262"/>
    <col min="15649" max="15650" width="0" style="262" hidden="1" customWidth="1"/>
    <col min="15651" max="15657" width="3.5703125" style="262"/>
    <col min="15658" max="15658" width="5.5703125" style="262" bestFit="1" customWidth="1"/>
    <col min="15659" max="15660" width="3.5703125" style="262"/>
    <col min="15661" max="15661" width="6.5703125" style="262" bestFit="1" customWidth="1"/>
    <col min="15662" max="15662" width="3.5703125" style="262"/>
    <col min="15663" max="15663" width="5.5703125" style="262" bestFit="1" customWidth="1"/>
    <col min="15664" max="15875" width="3.5703125" style="262"/>
    <col min="15876" max="15876" width="11.42578125" style="262" customWidth="1"/>
    <col min="15877" max="15877" width="1.85546875" style="262" customWidth="1"/>
    <col min="15878" max="15881" width="5.42578125" style="262" customWidth="1"/>
    <col min="15882" max="15882" width="10.42578125" style="262" customWidth="1"/>
    <col min="15883" max="15883" width="7.85546875" style="262" customWidth="1"/>
    <col min="15884" max="15884" width="8.85546875" style="262" customWidth="1"/>
    <col min="15885" max="15885" width="8.42578125" style="262" customWidth="1"/>
    <col min="15886" max="15886" width="4.42578125" style="262" customWidth="1"/>
    <col min="15887" max="15888" width="4.140625" style="262" customWidth="1"/>
    <col min="15889" max="15889" width="6.85546875" style="262" customWidth="1"/>
    <col min="15890" max="15890" width="4.140625" style="262" customWidth="1"/>
    <col min="15891" max="15896" width="4.42578125" style="262" customWidth="1"/>
    <col min="15897" max="15897" width="7" style="262" customWidth="1"/>
    <col min="15898" max="15898" width="0" style="262" hidden="1" customWidth="1"/>
    <col min="15899" max="15902" width="3.5703125" style="262" customWidth="1"/>
    <col min="15903" max="15904" width="3.5703125" style="262"/>
    <col min="15905" max="15906" width="0" style="262" hidden="1" customWidth="1"/>
    <col min="15907" max="15913" width="3.5703125" style="262"/>
    <col min="15914" max="15914" width="5.5703125" style="262" bestFit="1" customWidth="1"/>
    <col min="15915" max="15916" width="3.5703125" style="262"/>
    <col min="15917" max="15917" width="6.5703125" style="262" bestFit="1" customWidth="1"/>
    <col min="15918" max="15918" width="3.5703125" style="262"/>
    <col min="15919" max="15919" width="5.5703125" style="262" bestFit="1" customWidth="1"/>
    <col min="15920" max="16131" width="3.5703125" style="262"/>
    <col min="16132" max="16132" width="11.42578125" style="262" customWidth="1"/>
    <col min="16133" max="16133" width="1.85546875" style="262" customWidth="1"/>
    <col min="16134" max="16137" width="5.42578125" style="262" customWidth="1"/>
    <col min="16138" max="16138" width="10.42578125" style="262" customWidth="1"/>
    <col min="16139" max="16139" width="7.85546875" style="262" customWidth="1"/>
    <col min="16140" max="16140" width="8.85546875" style="262" customWidth="1"/>
    <col min="16141" max="16141" width="8.42578125" style="262" customWidth="1"/>
    <col min="16142" max="16142" width="4.42578125" style="262" customWidth="1"/>
    <col min="16143" max="16144" width="4.140625" style="262" customWidth="1"/>
    <col min="16145" max="16145" width="6.85546875" style="262" customWidth="1"/>
    <col min="16146" max="16146" width="4.140625" style="262" customWidth="1"/>
    <col min="16147" max="16152" width="4.42578125" style="262" customWidth="1"/>
    <col min="16153" max="16153" width="7" style="262" customWidth="1"/>
    <col min="16154" max="16154" width="0" style="262" hidden="1" customWidth="1"/>
    <col min="16155" max="16158" width="3.5703125" style="262" customWidth="1"/>
    <col min="16159" max="16160" width="3.5703125" style="262"/>
    <col min="16161" max="16162" width="0" style="262" hidden="1" customWidth="1"/>
    <col min="16163" max="16169" width="3.5703125" style="262"/>
    <col min="16170" max="16170" width="5.5703125" style="262" bestFit="1" customWidth="1"/>
    <col min="16171" max="16172" width="3.5703125" style="262"/>
    <col min="16173" max="16173" width="6.5703125" style="262" bestFit="1" customWidth="1"/>
    <col min="16174" max="16174" width="3.5703125" style="262"/>
    <col min="16175" max="16175" width="5.5703125" style="262" bestFit="1" customWidth="1"/>
    <col min="16176" max="16384" width="3.5703125" style="262"/>
  </cols>
  <sheetData>
    <row r="1" spans="2:36" s="7" customFormat="1" ht="9.9499999999999993" customHeight="1" x14ac:dyDescent="0.25">
      <c r="B1" s="584" t="s">
        <v>295</v>
      </c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  <c r="O1" s="584"/>
      <c r="P1" s="584"/>
      <c r="Q1" s="584"/>
      <c r="R1" s="584"/>
      <c r="S1" s="584"/>
      <c r="T1" s="584"/>
      <c r="U1" s="584"/>
      <c r="V1" s="584"/>
      <c r="W1" s="584"/>
      <c r="X1" s="584"/>
      <c r="Y1" s="584"/>
      <c r="AB1" s="263"/>
      <c r="AC1" s="263"/>
      <c r="AD1" s="263"/>
      <c r="AE1" s="263"/>
      <c r="AF1" s="263"/>
      <c r="AG1" s="263"/>
      <c r="AH1" s="263"/>
      <c r="AI1" s="263"/>
      <c r="AJ1" s="263"/>
    </row>
    <row r="2" spans="2:36" s="7" customFormat="1" ht="9.9499999999999993" customHeight="1" x14ac:dyDescent="0.25"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  <c r="W2" s="584"/>
      <c r="X2" s="584"/>
      <c r="Y2" s="584"/>
      <c r="AB2" s="263"/>
      <c r="AC2" s="263"/>
      <c r="AD2" s="263"/>
      <c r="AE2" s="263"/>
      <c r="AF2" s="263"/>
      <c r="AG2" s="263"/>
      <c r="AH2" s="263"/>
      <c r="AI2" s="263"/>
      <c r="AJ2" s="263"/>
    </row>
    <row r="3" spans="2:36" s="7" customFormat="1" ht="9.9499999999999993" customHeight="1" x14ac:dyDescent="0.25">
      <c r="B3" s="584"/>
      <c r="C3" s="584"/>
      <c r="D3" s="584"/>
      <c r="E3" s="584"/>
      <c r="F3" s="584"/>
      <c r="G3" s="584"/>
      <c r="H3" s="584"/>
      <c r="I3" s="584"/>
      <c r="J3" s="584"/>
      <c r="K3" s="584"/>
      <c r="L3" s="584"/>
      <c r="M3" s="584"/>
      <c r="N3" s="584"/>
      <c r="O3" s="584"/>
      <c r="P3" s="584"/>
      <c r="Q3" s="584"/>
      <c r="R3" s="584"/>
      <c r="S3" s="584"/>
      <c r="T3" s="584"/>
      <c r="U3" s="584"/>
      <c r="V3" s="584"/>
      <c r="W3" s="584"/>
      <c r="X3" s="584"/>
      <c r="Y3" s="584"/>
      <c r="AB3" s="263"/>
      <c r="AC3" s="263"/>
      <c r="AD3" s="263"/>
      <c r="AE3" s="263"/>
      <c r="AF3" s="263"/>
      <c r="AG3" s="263"/>
      <c r="AH3" s="263"/>
      <c r="AI3" s="263"/>
      <c r="AJ3" s="263"/>
    </row>
    <row r="4" spans="2:36" s="7" customFormat="1" ht="9.9499999999999993" customHeight="1" x14ac:dyDescent="0.25"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584"/>
      <c r="O4" s="584"/>
      <c r="P4" s="584"/>
      <c r="Q4" s="584"/>
      <c r="R4" s="584"/>
      <c r="S4" s="584"/>
      <c r="T4" s="584"/>
      <c r="U4" s="584"/>
      <c r="V4" s="584"/>
      <c r="W4" s="584"/>
      <c r="X4" s="584"/>
      <c r="Y4" s="584"/>
      <c r="AB4" s="263"/>
      <c r="AC4" s="263"/>
      <c r="AD4" s="263"/>
      <c r="AE4" s="263"/>
      <c r="AF4" s="263"/>
      <c r="AG4" s="263"/>
      <c r="AH4" s="263"/>
      <c r="AI4" s="263"/>
      <c r="AJ4" s="263"/>
    </row>
    <row r="5" spans="2:36" s="7" customFormat="1" ht="9.9499999999999993" customHeight="1" x14ac:dyDescent="0.25">
      <c r="B5" s="584"/>
      <c r="C5" s="584"/>
      <c r="D5" s="584"/>
      <c r="E5" s="584"/>
      <c r="F5" s="584"/>
      <c r="G5" s="584"/>
      <c r="H5" s="584"/>
      <c r="I5" s="584"/>
      <c r="J5" s="584"/>
      <c r="K5" s="584"/>
      <c r="L5" s="584"/>
      <c r="M5" s="584"/>
      <c r="N5" s="584"/>
      <c r="O5" s="584"/>
      <c r="P5" s="584"/>
      <c r="Q5" s="584"/>
      <c r="R5" s="584"/>
      <c r="S5" s="584"/>
      <c r="T5" s="584"/>
      <c r="U5" s="584"/>
      <c r="V5" s="584"/>
      <c r="W5" s="584"/>
      <c r="X5" s="584"/>
      <c r="Y5" s="584"/>
      <c r="AB5" s="263"/>
      <c r="AC5" s="263"/>
      <c r="AD5" s="263"/>
      <c r="AE5" s="263"/>
      <c r="AF5" s="263"/>
      <c r="AG5" s="263"/>
      <c r="AH5" s="263"/>
      <c r="AI5" s="263"/>
      <c r="AJ5" s="263"/>
    </row>
    <row r="6" spans="2:36" s="7" customFormat="1" ht="9.9499999999999993" customHeight="1" x14ac:dyDescent="0.25">
      <c r="B6" s="584"/>
      <c r="C6" s="584"/>
      <c r="D6" s="584"/>
      <c r="E6" s="584"/>
      <c r="F6" s="584"/>
      <c r="G6" s="584"/>
      <c r="H6" s="584"/>
      <c r="I6" s="584"/>
      <c r="J6" s="584"/>
      <c r="K6" s="584"/>
      <c r="L6" s="584"/>
      <c r="M6" s="584"/>
      <c r="N6" s="584"/>
      <c r="O6" s="584"/>
      <c r="P6" s="584"/>
      <c r="Q6" s="584"/>
      <c r="R6" s="584"/>
      <c r="S6" s="584"/>
      <c r="T6" s="584"/>
      <c r="U6" s="584"/>
      <c r="V6" s="584"/>
      <c r="W6" s="584"/>
      <c r="X6" s="584"/>
      <c r="Y6" s="584"/>
      <c r="AB6" s="263"/>
      <c r="AC6" s="263"/>
      <c r="AD6" s="263"/>
      <c r="AE6" s="263"/>
      <c r="AF6" s="263"/>
      <c r="AG6" s="263"/>
      <c r="AH6" s="263"/>
      <c r="AI6" s="263"/>
      <c r="AJ6" s="263"/>
    </row>
    <row r="7" spans="2:36" s="7" customFormat="1" ht="15" x14ac:dyDescent="0.25">
      <c r="AB7" s="263"/>
      <c r="AC7" s="263"/>
      <c r="AD7" s="263"/>
      <c r="AE7" s="263"/>
      <c r="AF7" s="263"/>
      <c r="AG7" s="263"/>
      <c r="AH7" s="263"/>
      <c r="AI7" s="263"/>
      <c r="AJ7" s="263"/>
    </row>
    <row r="8" spans="2:36" s="261" customFormat="1" ht="18" customHeight="1" x14ac:dyDescent="0.25">
      <c r="B8" s="8" t="s">
        <v>50</v>
      </c>
      <c r="D8" s="13" t="str">
        <f>'DADOS DA OBRA'!$B$13</f>
        <v>TRIBUNAL REGIONAL ELEITORAL - PIAUÍ</v>
      </c>
      <c r="F8" s="9"/>
      <c r="G8" s="9"/>
      <c r="H8" s="9"/>
      <c r="I8" s="9"/>
      <c r="J8" s="9"/>
      <c r="K8" s="9"/>
      <c r="X8" s="10" t="s">
        <v>51</v>
      </c>
      <c r="Y8" s="11" t="str">
        <f>+'CURVA ABC - SERVIÇOS'!G8</f>
        <v>22/11/2021</v>
      </c>
      <c r="AB8" s="264"/>
      <c r="AC8" s="264"/>
      <c r="AD8" s="264"/>
      <c r="AE8" s="264"/>
      <c r="AF8" s="264"/>
      <c r="AG8" s="264"/>
      <c r="AH8" s="264"/>
      <c r="AI8" s="264"/>
      <c r="AJ8" s="264"/>
    </row>
    <row r="9" spans="2:36" s="261" customFormat="1" ht="18" customHeight="1" x14ac:dyDescent="0.25">
      <c r="B9" s="8" t="s">
        <v>69</v>
      </c>
      <c r="D9" s="13" t="str">
        <f>'DADOS DA OBRA'!$B$16</f>
        <v>ADEQUAÇÃO DE INSTALAÇÕES ELÉTRICAS E CABEAMENTO ESTRUTURADO - EDIFÍCIO SEDE</v>
      </c>
      <c r="F9" s="12"/>
      <c r="G9" s="12"/>
      <c r="H9" s="12"/>
      <c r="I9" s="12"/>
      <c r="J9" s="12"/>
      <c r="K9" s="12"/>
      <c r="X9" s="10" t="s">
        <v>52</v>
      </c>
      <c r="Y9" s="11">
        <f>+'CURVA ABC - SERVIÇOS'!G9</f>
        <v>44733</v>
      </c>
      <c r="AB9" s="264"/>
      <c r="AC9" s="264"/>
      <c r="AD9" s="264"/>
      <c r="AE9" s="264"/>
      <c r="AF9" s="264"/>
      <c r="AG9" s="264"/>
      <c r="AH9" s="264"/>
      <c r="AI9" s="264"/>
      <c r="AJ9" s="264"/>
    </row>
    <row r="10" spans="2:36" s="261" customFormat="1" ht="18" customHeight="1" x14ac:dyDescent="0.25">
      <c r="B10" s="8" t="s">
        <v>53</v>
      </c>
      <c r="D10" s="9" t="str">
        <f>+""&amp;'DADOS DA OBRA'!$B$19&amp;", "&amp;'DADOS DA OBRA'!$J$22&amp;", "&amp;'DADOS DA OBRA'!$P$22</f>
        <v>PRAÇA EDGAR NOGUEIRA, TERESINA, PI</v>
      </c>
      <c r="F10" s="12"/>
      <c r="G10" s="12"/>
      <c r="H10" s="12"/>
      <c r="I10" s="12"/>
      <c r="J10" s="12"/>
      <c r="K10" s="12"/>
      <c r="X10" s="10" t="s">
        <v>71</v>
      </c>
      <c r="Y10" s="294">
        <f>+'CURVA ABC - SERVIÇOS'!J8</f>
        <v>1.1186</v>
      </c>
      <c r="AB10" s="264"/>
      <c r="AC10" s="264"/>
      <c r="AD10" s="264"/>
      <c r="AE10" s="264"/>
      <c r="AF10" s="264"/>
      <c r="AG10" s="264"/>
      <c r="AH10" s="264"/>
      <c r="AI10" s="264"/>
      <c r="AJ10" s="264"/>
    </row>
    <row r="11" spans="2:36" ht="69" customHeight="1" x14ac:dyDescent="0.25">
      <c r="B11" s="8" t="s">
        <v>70</v>
      </c>
      <c r="D11" s="480" t="str">
        <f>+'DADOS DA OBRA'!$B$31</f>
        <v>SINAPI - 04/2022 - PIAUÍ   	SBC - 05/2022 - TSA - Teresina - PI  ORSE - 03/2022 - SERGIPE      ETOP - 03/2022 - Minas Gerais - Central SUDECAP - 02/2022 - MINAS GERAIS    CPOS - 02/2022 - São Paulo AGESUL - 01/2022 - MATO GROSSO DO SUL     GETOP CIVIL - 04/2022 - Goiás EMOP - 04/2022 - RIO DE JANEIRO</v>
      </c>
      <c r="E11" s="480"/>
      <c r="F11" s="480"/>
      <c r="G11" s="480"/>
      <c r="H11" s="480"/>
      <c r="I11" s="480"/>
      <c r="J11" s="480"/>
      <c r="K11" s="480"/>
      <c r="L11" s="480"/>
      <c r="M11" s="480"/>
      <c r="N11" s="480"/>
      <c r="O11" s="480"/>
      <c r="P11" s="480"/>
      <c r="Q11" s="480"/>
      <c r="R11" s="480"/>
      <c r="S11" s="480"/>
      <c r="X11" s="10" t="s">
        <v>72</v>
      </c>
      <c r="Y11" s="294">
        <f>+'CURVA ABC - SERVIÇOS'!J9</f>
        <v>0.70630000000000004</v>
      </c>
      <c r="Z11" s="262"/>
    </row>
    <row r="12" spans="2:36" s="1" customFormat="1" ht="6.95" customHeight="1" x14ac:dyDescent="0.25">
      <c r="I12" s="2"/>
      <c r="J12" s="3"/>
      <c r="K12" s="3"/>
      <c r="L12" s="4"/>
      <c r="M12" s="5"/>
      <c r="N12" s="6"/>
      <c r="AB12" s="266"/>
      <c r="AC12" s="266"/>
      <c r="AD12" s="266"/>
      <c r="AE12" s="266"/>
      <c r="AF12" s="266"/>
      <c r="AG12" s="266"/>
      <c r="AH12" s="266"/>
      <c r="AI12" s="266"/>
      <c r="AJ12" s="266"/>
    </row>
    <row r="13" spans="2:36" ht="24.95" customHeight="1" x14ac:dyDescent="0.25">
      <c r="B13" s="583"/>
      <c r="C13" s="583"/>
      <c r="D13" s="583"/>
      <c r="E13" s="583"/>
      <c r="F13" s="583"/>
      <c r="G13" s="585"/>
      <c r="H13" s="585"/>
      <c r="I13" s="585"/>
      <c r="J13" s="585"/>
      <c r="K13" s="585"/>
      <c r="L13" s="585"/>
      <c r="M13" s="585"/>
      <c r="N13" s="585"/>
      <c r="O13" s="585"/>
      <c r="P13" s="585"/>
      <c r="Q13" s="585"/>
      <c r="R13" s="585"/>
      <c r="S13" s="585"/>
      <c r="T13" s="585"/>
      <c r="U13" s="585"/>
      <c r="V13" s="585"/>
      <c r="W13" s="585"/>
      <c r="X13" s="585"/>
      <c r="Y13" s="585"/>
      <c r="AB13" s="254"/>
      <c r="AC13" s="254"/>
      <c r="AD13" s="254"/>
      <c r="AE13" s="254"/>
    </row>
    <row r="14" spans="2:36" ht="24.95" customHeight="1" x14ac:dyDescent="0.25">
      <c r="B14" s="583" t="s">
        <v>38</v>
      </c>
      <c r="C14" s="583"/>
      <c r="D14" s="583"/>
      <c r="E14" s="583"/>
      <c r="F14" s="583"/>
      <c r="G14" s="589" t="s">
        <v>789</v>
      </c>
      <c r="H14" s="589"/>
      <c r="I14" s="589"/>
      <c r="J14" s="589"/>
      <c r="K14" s="589"/>
      <c r="L14" s="589"/>
      <c r="M14" s="589"/>
      <c r="N14" s="589"/>
      <c r="O14" s="589"/>
      <c r="P14" s="589"/>
      <c r="Q14" s="589"/>
      <c r="R14" s="589"/>
      <c r="S14" s="589"/>
      <c r="T14" s="589"/>
      <c r="U14" s="589"/>
      <c r="V14" s="589"/>
      <c r="W14" s="589"/>
      <c r="X14" s="589"/>
      <c r="Y14" s="589"/>
      <c r="AB14" s="254"/>
      <c r="AC14" s="254"/>
      <c r="AD14" s="254"/>
      <c r="AE14" s="254"/>
    </row>
    <row r="15" spans="2:36" ht="24.95" customHeight="1" x14ac:dyDescent="0.25">
      <c r="B15" s="583" t="s">
        <v>39</v>
      </c>
      <c r="C15" s="583"/>
      <c r="D15" s="583"/>
      <c r="E15" s="583"/>
      <c r="F15" s="583"/>
      <c r="G15" s="589" t="s">
        <v>81</v>
      </c>
      <c r="H15" s="589"/>
      <c r="I15" s="589"/>
      <c r="J15" s="589"/>
      <c r="K15" s="589"/>
      <c r="L15" s="589"/>
      <c r="M15" s="589"/>
      <c r="N15" s="589"/>
      <c r="O15" s="589"/>
      <c r="P15" s="589"/>
      <c r="Q15" s="589"/>
      <c r="R15" s="589"/>
      <c r="S15" s="589"/>
      <c r="T15" s="589"/>
      <c r="U15" s="589"/>
      <c r="V15" s="589"/>
      <c r="W15" s="589"/>
      <c r="X15" s="589"/>
      <c r="Y15" s="589"/>
      <c r="AB15" s="254"/>
      <c r="AC15" s="254"/>
      <c r="AD15" s="254"/>
      <c r="AE15" s="254"/>
    </row>
    <row r="16" spans="2:36" ht="24.95" customHeight="1" x14ac:dyDescent="0.25">
      <c r="B16" s="583" t="s">
        <v>82</v>
      </c>
      <c r="C16" s="583"/>
      <c r="D16" s="583"/>
      <c r="E16" s="583"/>
      <c r="F16" s="583"/>
      <c r="G16" s="588">
        <v>0.6</v>
      </c>
      <c r="H16" s="588"/>
      <c r="I16" s="588"/>
      <c r="J16" s="56" t="s">
        <v>87</v>
      </c>
      <c r="K16" s="55">
        <v>0.03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AB16" s="254"/>
      <c r="AC16" s="254"/>
      <c r="AD16" s="254"/>
      <c r="AE16" s="254"/>
    </row>
    <row r="17" spans="1:47" ht="24.95" customHeight="1" x14ac:dyDescent="0.25">
      <c r="B17" s="267"/>
      <c r="C17" s="267"/>
      <c r="D17" s="267"/>
      <c r="E17" s="267"/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</row>
    <row r="18" spans="1:47" ht="24.95" customHeight="1" x14ac:dyDescent="0.25"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</row>
    <row r="19" spans="1:47" ht="24.95" customHeight="1" thickBot="1" x14ac:dyDescent="0.3">
      <c r="B19" s="267"/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267"/>
      <c r="W19" s="267"/>
      <c r="X19" s="267"/>
      <c r="Y19" s="267"/>
    </row>
    <row r="20" spans="1:47" ht="24.95" customHeight="1" x14ac:dyDescent="0.25">
      <c r="B20" s="12"/>
      <c r="C20" s="12"/>
      <c r="D20" s="12"/>
      <c r="E20" s="590" t="s">
        <v>83</v>
      </c>
      <c r="F20" s="591"/>
      <c r="G20" s="591"/>
      <c r="H20" s="591"/>
      <c r="I20" s="594" t="s">
        <v>40</v>
      </c>
      <c r="J20" s="594"/>
      <c r="K20" s="594"/>
      <c r="L20" s="595"/>
      <c r="O20" s="268"/>
      <c r="P20" s="598" t="s">
        <v>296</v>
      </c>
      <c r="Q20" s="599"/>
      <c r="R20" s="599"/>
      <c r="S20" s="599"/>
      <c r="T20" s="599"/>
      <c r="U20" s="599"/>
      <c r="V20" s="600"/>
      <c r="W20" s="268"/>
      <c r="X20" s="268"/>
      <c r="Y20" s="268"/>
      <c r="AA20" s="269"/>
      <c r="AB20" s="270"/>
      <c r="AC20" s="270"/>
      <c r="AD20" s="270"/>
      <c r="AM20" s="269"/>
      <c r="AN20" s="269"/>
      <c r="AO20" s="269"/>
      <c r="AP20" s="269"/>
      <c r="AQ20" s="269"/>
      <c r="AR20" s="269"/>
      <c r="AS20" s="269"/>
      <c r="AT20" s="269"/>
      <c r="AU20" s="269"/>
    </row>
    <row r="21" spans="1:47" ht="24.95" customHeight="1" thickBot="1" x14ac:dyDescent="0.3">
      <c r="B21" s="12"/>
      <c r="C21" s="12"/>
      <c r="D21" s="12"/>
      <c r="E21" s="592"/>
      <c r="F21" s="593"/>
      <c r="G21" s="593"/>
      <c r="H21" s="593"/>
      <c r="I21" s="596"/>
      <c r="J21" s="596"/>
      <c r="K21" s="596"/>
      <c r="L21" s="597"/>
      <c r="O21" s="53"/>
      <c r="P21" s="271" t="s">
        <v>297</v>
      </c>
      <c r="Q21" s="53"/>
      <c r="R21" s="53"/>
      <c r="S21" s="53" t="s">
        <v>298</v>
      </c>
      <c r="T21" s="53"/>
      <c r="U21" s="53"/>
      <c r="V21" s="272" t="s">
        <v>299</v>
      </c>
      <c r="W21" s="53"/>
      <c r="X21" s="53"/>
      <c r="Y21" s="53"/>
      <c r="AC21" s="254"/>
      <c r="AD21" s="254"/>
    </row>
    <row r="22" spans="1:47" ht="24.95" customHeight="1" x14ac:dyDescent="0.25">
      <c r="B22" s="12"/>
      <c r="C22" s="12"/>
      <c r="D22" s="12"/>
      <c r="E22" s="273" t="s">
        <v>73</v>
      </c>
      <c r="F22" s="274"/>
      <c r="G22" s="274"/>
      <c r="H22" s="274"/>
      <c r="I22" s="601">
        <v>4</v>
      </c>
      <c r="J22" s="601"/>
      <c r="K22" s="601"/>
      <c r="L22" s="602"/>
      <c r="O22" s="53"/>
      <c r="P22" s="271">
        <v>3</v>
      </c>
      <c r="Q22" s="53"/>
      <c r="R22" s="53"/>
      <c r="S22" s="53">
        <v>4</v>
      </c>
      <c r="T22" s="53"/>
      <c r="U22" s="53"/>
      <c r="V22" s="272">
        <v>5.5</v>
      </c>
      <c r="W22" s="53"/>
      <c r="X22" s="53"/>
      <c r="Y22" s="53"/>
      <c r="AC22" s="254"/>
      <c r="AD22" s="254"/>
    </row>
    <row r="23" spans="1:47" ht="24.95" customHeight="1" x14ac:dyDescent="0.25">
      <c r="B23" s="12"/>
      <c r="C23" s="12"/>
      <c r="D23" s="12"/>
      <c r="E23" s="273" t="s">
        <v>74</v>
      </c>
      <c r="F23" s="274"/>
      <c r="G23" s="274"/>
      <c r="H23" s="274"/>
      <c r="I23" s="586">
        <v>0.8</v>
      </c>
      <c r="J23" s="586"/>
      <c r="K23" s="586"/>
      <c r="L23" s="587"/>
      <c r="O23" s="53"/>
      <c r="P23" s="271">
        <v>0.8</v>
      </c>
      <c r="Q23" s="53"/>
      <c r="R23" s="53"/>
      <c r="S23" s="53">
        <v>0.8</v>
      </c>
      <c r="T23" s="53"/>
      <c r="U23" s="53"/>
      <c r="V23" s="272">
        <v>1</v>
      </c>
      <c r="W23" s="53"/>
      <c r="X23" s="53"/>
      <c r="Y23" s="53"/>
      <c r="AC23" s="254"/>
      <c r="AD23" s="254"/>
    </row>
    <row r="24" spans="1:47" ht="24.95" customHeight="1" x14ac:dyDescent="0.25">
      <c r="B24" s="12"/>
      <c r="C24" s="12"/>
      <c r="D24" s="12"/>
      <c r="E24" s="273" t="s">
        <v>75</v>
      </c>
      <c r="F24" s="274"/>
      <c r="G24" s="274"/>
      <c r="H24" s="274"/>
      <c r="I24" s="586">
        <v>1.27</v>
      </c>
      <c r="J24" s="586"/>
      <c r="K24" s="586"/>
      <c r="L24" s="587"/>
      <c r="O24" s="53"/>
      <c r="P24" s="271">
        <v>0.97</v>
      </c>
      <c r="Q24" s="53"/>
      <c r="R24" s="53"/>
      <c r="S24" s="53">
        <v>1.27</v>
      </c>
      <c r="T24" s="53"/>
      <c r="U24" s="53"/>
      <c r="V24" s="272">
        <v>1.27</v>
      </c>
      <c r="W24" s="53"/>
      <c r="X24" s="53"/>
      <c r="Y24" s="53"/>
      <c r="AC24" s="254"/>
      <c r="AD24" s="254"/>
    </row>
    <row r="25" spans="1:47" ht="24.95" customHeight="1" x14ac:dyDescent="0.25">
      <c r="B25" s="12"/>
      <c r="C25" s="12"/>
      <c r="D25" s="12"/>
      <c r="E25" s="273" t="s">
        <v>76</v>
      </c>
      <c r="F25" s="274"/>
      <c r="G25" s="274"/>
      <c r="H25" s="274"/>
      <c r="I25" s="586">
        <v>1.23</v>
      </c>
      <c r="J25" s="586"/>
      <c r="K25" s="586"/>
      <c r="L25" s="587"/>
      <c r="O25" s="53"/>
      <c r="P25" s="271">
        <v>0.59</v>
      </c>
      <c r="Q25" s="53"/>
      <c r="R25" s="53"/>
      <c r="S25" s="53">
        <v>1.23</v>
      </c>
      <c r="T25" s="53"/>
      <c r="U25" s="53"/>
      <c r="V25" s="272">
        <v>1.39</v>
      </c>
      <c r="W25" s="53"/>
      <c r="X25" s="53"/>
      <c r="Y25" s="53"/>
      <c r="AC25" s="254"/>
      <c r="AD25" s="254"/>
    </row>
    <row r="26" spans="1:47" ht="24.95" customHeight="1" x14ac:dyDescent="0.25">
      <c r="B26" s="12"/>
      <c r="C26" s="12"/>
      <c r="D26" s="12"/>
      <c r="E26" s="273" t="s">
        <v>77</v>
      </c>
      <c r="F26" s="274"/>
      <c r="G26" s="274"/>
      <c r="H26" s="274"/>
      <c r="I26" s="586">
        <v>7.4</v>
      </c>
      <c r="J26" s="586"/>
      <c r="K26" s="586"/>
      <c r="L26" s="587"/>
      <c r="O26" s="53"/>
      <c r="P26" s="271">
        <v>6.16</v>
      </c>
      <c r="Q26" s="53"/>
      <c r="R26" s="53"/>
      <c r="S26" s="53">
        <v>7.4</v>
      </c>
      <c r="T26" s="53"/>
      <c r="U26" s="53"/>
      <c r="V26" s="272">
        <v>8.9600000000000009</v>
      </c>
      <c r="W26" s="53"/>
      <c r="X26" s="53"/>
      <c r="Y26" s="53"/>
      <c r="Z26" s="296"/>
      <c r="AA26" s="297"/>
      <c r="AB26" s="275"/>
      <c r="AC26" s="254"/>
      <c r="AD26" s="254"/>
    </row>
    <row r="27" spans="1:47" ht="24.95" customHeight="1" x14ac:dyDescent="0.25">
      <c r="B27" s="12"/>
      <c r="C27" s="12"/>
      <c r="D27" s="12"/>
      <c r="E27" s="273" t="s">
        <v>78</v>
      </c>
      <c r="F27" s="274"/>
      <c r="G27" s="274"/>
      <c r="H27" s="274"/>
      <c r="I27" s="586">
        <v>0.65</v>
      </c>
      <c r="J27" s="586"/>
      <c r="K27" s="586"/>
      <c r="L27" s="587"/>
      <c r="O27" s="53"/>
      <c r="P27" s="271">
        <v>0.65</v>
      </c>
      <c r="Q27" s="53"/>
      <c r="R27" s="53"/>
      <c r="S27" s="53">
        <v>0.65</v>
      </c>
      <c r="T27" s="53"/>
      <c r="U27" s="53"/>
      <c r="V27" s="272">
        <v>0.65</v>
      </c>
      <c r="W27" s="53"/>
      <c r="X27" s="53"/>
      <c r="Y27" s="53"/>
      <c r="AC27" s="254"/>
      <c r="AD27" s="254"/>
    </row>
    <row r="28" spans="1:47" ht="24.95" customHeight="1" x14ac:dyDescent="0.25">
      <c r="B28" s="12"/>
      <c r="C28" s="12"/>
      <c r="D28" s="12"/>
      <c r="E28" s="273" t="s">
        <v>79</v>
      </c>
      <c r="F28" s="274"/>
      <c r="G28" s="274"/>
      <c r="H28" s="274"/>
      <c r="I28" s="586">
        <v>3</v>
      </c>
      <c r="J28" s="586"/>
      <c r="K28" s="586"/>
      <c r="L28" s="587"/>
      <c r="O28" s="53"/>
      <c r="P28" s="271">
        <v>3</v>
      </c>
      <c r="Q28" s="53"/>
      <c r="R28" s="53"/>
      <c r="S28" s="53">
        <v>3</v>
      </c>
      <c r="T28" s="53"/>
      <c r="U28" s="53"/>
      <c r="V28" s="272">
        <v>3</v>
      </c>
      <c r="W28" s="53"/>
      <c r="X28" s="53"/>
      <c r="Y28" s="53"/>
      <c r="AC28" s="254"/>
      <c r="AD28" s="254"/>
    </row>
    <row r="29" spans="1:47" ht="24.95" customHeight="1" thickBot="1" x14ac:dyDescent="0.3">
      <c r="B29" s="12"/>
      <c r="C29" s="12"/>
      <c r="D29" s="12"/>
      <c r="E29" s="273" t="s">
        <v>80</v>
      </c>
      <c r="F29" s="274"/>
      <c r="G29" s="274"/>
      <c r="H29" s="274"/>
      <c r="I29" s="586">
        <v>1.8</v>
      </c>
      <c r="J29" s="586"/>
      <c r="K29" s="586"/>
      <c r="L29" s="587"/>
      <c r="O29" s="53"/>
      <c r="P29" s="276">
        <v>2</v>
      </c>
      <c r="Q29" s="277"/>
      <c r="R29" s="277"/>
      <c r="S29" s="277">
        <v>2</v>
      </c>
      <c r="T29" s="277"/>
      <c r="U29" s="277"/>
      <c r="V29" s="278">
        <v>5</v>
      </c>
      <c r="W29" s="53"/>
      <c r="X29" s="53"/>
      <c r="Y29" s="53"/>
      <c r="AC29" s="254"/>
      <c r="AD29" s="254"/>
    </row>
    <row r="30" spans="1:47" ht="24.95" customHeight="1" thickBot="1" x14ac:dyDescent="0.3">
      <c r="B30" s="12"/>
      <c r="C30" s="12"/>
      <c r="D30" s="12"/>
      <c r="E30" s="273" t="s">
        <v>84</v>
      </c>
      <c r="F30" s="274"/>
      <c r="G30" s="274"/>
      <c r="H30" s="274"/>
      <c r="I30" s="586"/>
      <c r="J30" s="586"/>
      <c r="K30" s="586"/>
      <c r="L30" s="587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AB30" s="279"/>
      <c r="AC30" s="254"/>
      <c r="AD30" s="254"/>
      <c r="AE30" s="254"/>
      <c r="AF30" s="254"/>
      <c r="AG30" s="254"/>
      <c r="AH30" s="254"/>
      <c r="AI30" s="254"/>
      <c r="AJ30" s="254"/>
    </row>
    <row r="31" spans="1:47" ht="24.95" customHeight="1" thickBot="1" x14ac:dyDescent="0.3">
      <c r="A31" s="54"/>
      <c r="B31" s="292"/>
      <c r="C31" s="280"/>
      <c r="D31" s="281"/>
      <c r="E31" s="282" t="s">
        <v>41</v>
      </c>
      <c r="F31" s="283"/>
      <c r="G31" s="283"/>
      <c r="H31" s="283"/>
      <c r="I31" s="603">
        <f>TRUNC((((((1+I22/100+I23/100+I24/100)*(1+I25/100)*(1+I26/100))/(1-(I27/100+I28/100+I29/100+I30/100)))-1)*100),2)</f>
        <v>21.96</v>
      </c>
      <c r="J31" s="603"/>
      <c r="K31" s="603"/>
      <c r="L31" s="604"/>
      <c r="M31" s="284"/>
      <c r="N31" s="284"/>
      <c r="O31" s="284"/>
      <c r="P31" s="598" t="s">
        <v>300</v>
      </c>
      <c r="Q31" s="599"/>
      <c r="R31" s="599"/>
      <c r="S31" s="599"/>
      <c r="T31" s="599"/>
      <c r="U31" s="599"/>
      <c r="V31" s="600"/>
      <c r="W31" s="284"/>
      <c r="X31" s="284"/>
      <c r="Y31" s="12"/>
      <c r="Z31" s="54"/>
      <c r="AB31" s="285"/>
      <c r="AC31" s="285"/>
      <c r="AD31" s="285"/>
      <c r="AE31" s="285"/>
      <c r="AF31" s="285"/>
      <c r="AG31" s="285"/>
      <c r="AH31" s="285"/>
      <c r="AI31" s="285"/>
      <c r="AJ31" s="285"/>
    </row>
    <row r="32" spans="1:47" ht="24.95" customHeight="1" thickBot="1" x14ac:dyDescent="0.3">
      <c r="A32" s="54"/>
      <c r="B32" s="292"/>
      <c r="C32" s="280"/>
      <c r="D32" s="281"/>
      <c r="E32" s="281"/>
      <c r="F32" s="281"/>
      <c r="G32" s="281"/>
      <c r="H32" s="281"/>
      <c r="I32" s="281"/>
      <c r="J32" s="281"/>
      <c r="K32" s="284"/>
      <c r="L32" s="284"/>
      <c r="M32" s="284"/>
      <c r="N32" s="284"/>
      <c r="O32" s="284"/>
      <c r="P32" s="276">
        <v>20.34</v>
      </c>
      <c r="Q32" s="277"/>
      <c r="R32" s="277"/>
      <c r="S32" s="277">
        <v>22.12</v>
      </c>
      <c r="T32" s="277"/>
      <c r="U32" s="277"/>
      <c r="V32" s="278">
        <v>25</v>
      </c>
      <c r="W32" s="284"/>
      <c r="X32" s="284"/>
      <c r="Y32" s="12"/>
      <c r="Z32" s="54"/>
      <c r="AB32" s="285"/>
      <c r="AC32" s="285"/>
      <c r="AD32" s="285"/>
      <c r="AE32" s="285"/>
      <c r="AF32" s="285"/>
      <c r="AG32" s="285"/>
      <c r="AH32" s="285"/>
      <c r="AI32" s="285"/>
      <c r="AJ32" s="285"/>
    </row>
    <row r="33" spans="1:36" ht="24.95" customHeight="1" x14ac:dyDescent="0.25">
      <c r="A33" s="54"/>
      <c r="B33" s="292"/>
      <c r="C33" s="280"/>
      <c r="D33" s="281"/>
      <c r="E33" s="281"/>
      <c r="F33" s="281"/>
      <c r="G33" s="281"/>
      <c r="H33" s="281"/>
      <c r="I33" s="281"/>
      <c r="J33" s="281"/>
      <c r="K33" s="284"/>
      <c r="L33" s="284"/>
      <c r="M33" s="284"/>
      <c r="N33" s="284"/>
      <c r="O33" s="284"/>
      <c r="P33" s="608"/>
      <c r="Q33" s="608"/>
      <c r="R33" s="608"/>
      <c r="S33" s="608"/>
      <c r="T33" s="608"/>
      <c r="U33" s="608"/>
      <c r="V33" s="608"/>
      <c r="W33" s="284"/>
      <c r="X33" s="284"/>
      <c r="Y33" s="12"/>
      <c r="Z33" s="54"/>
      <c r="AB33" s="285"/>
      <c r="AC33" s="285"/>
      <c r="AD33" s="285"/>
      <c r="AE33" s="285"/>
      <c r="AF33" s="285"/>
      <c r="AG33" s="285"/>
      <c r="AH33" s="285"/>
      <c r="AI33" s="285"/>
      <c r="AJ33" s="285"/>
    </row>
    <row r="34" spans="1:36" ht="24.95" customHeight="1" x14ac:dyDescent="0.25">
      <c r="B34" s="605" t="s">
        <v>85</v>
      </c>
      <c r="C34" s="605"/>
      <c r="D34" s="605"/>
      <c r="E34" s="605"/>
      <c r="F34" s="605"/>
      <c r="G34" s="605"/>
      <c r="H34" s="605"/>
      <c r="I34" s="605"/>
      <c r="J34" s="605"/>
      <c r="K34" s="605"/>
      <c r="L34" s="605"/>
      <c r="M34" s="605"/>
      <c r="N34" s="605"/>
      <c r="O34" s="605"/>
      <c r="P34" s="605"/>
      <c r="Q34" s="605"/>
      <c r="R34" s="605"/>
      <c r="S34" s="605"/>
      <c r="T34" s="605"/>
      <c r="U34" s="605"/>
      <c r="V34" s="605"/>
      <c r="W34" s="605"/>
      <c r="X34" s="605"/>
      <c r="Y34" s="605"/>
      <c r="AB34" s="254"/>
      <c r="AC34" s="254"/>
      <c r="AD34" s="286"/>
      <c r="AE34" s="287"/>
      <c r="AF34" s="254"/>
      <c r="AG34" s="254"/>
      <c r="AH34" s="254"/>
      <c r="AI34" s="254"/>
      <c r="AJ34" s="254"/>
    </row>
    <row r="35" spans="1:36" ht="24.95" customHeight="1" x14ac:dyDescent="0.25">
      <c r="B35" s="609"/>
      <c r="C35" s="609"/>
      <c r="D35" s="609"/>
      <c r="E35" s="609"/>
      <c r="F35" s="609"/>
      <c r="G35" s="609"/>
      <c r="H35" s="609"/>
      <c r="I35" s="609"/>
      <c r="J35" s="609"/>
      <c r="K35" s="609"/>
      <c r="L35" s="609"/>
      <c r="M35" s="609"/>
      <c r="N35" s="609"/>
      <c r="O35" s="609"/>
      <c r="P35" s="609"/>
      <c r="Q35" s="609"/>
      <c r="R35" s="609"/>
      <c r="S35" s="609"/>
      <c r="T35" s="609"/>
      <c r="U35" s="609"/>
      <c r="V35" s="609"/>
      <c r="W35" s="609"/>
      <c r="X35" s="609"/>
      <c r="Y35" s="609"/>
      <c r="AB35" s="254"/>
      <c r="AC35" s="254"/>
      <c r="AD35" s="254"/>
      <c r="AE35" s="254"/>
      <c r="AF35" s="254"/>
      <c r="AG35" s="254"/>
      <c r="AH35" s="254"/>
      <c r="AI35" s="254"/>
      <c r="AJ35" s="254"/>
    </row>
    <row r="36" spans="1:36" ht="24.95" customHeight="1" x14ac:dyDescent="0.25">
      <c r="B36" s="606" t="s">
        <v>86</v>
      </c>
      <c r="C36" s="606"/>
      <c r="D36" s="606"/>
      <c r="E36" s="606"/>
      <c r="F36" s="606"/>
      <c r="G36" s="606"/>
      <c r="H36" s="606"/>
      <c r="I36" s="606"/>
      <c r="J36" s="606"/>
      <c r="K36" s="606"/>
      <c r="L36" s="606"/>
      <c r="M36" s="606"/>
      <c r="N36" s="606"/>
      <c r="O36" s="606"/>
      <c r="P36" s="606"/>
      <c r="Q36" s="606"/>
      <c r="R36" s="606"/>
      <c r="S36" s="606"/>
      <c r="T36" s="606"/>
      <c r="U36" s="606"/>
      <c r="V36" s="606"/>
      <c r="W36" s="606"/>
      <c r="X36" s="606"/>
      <c r="Y36" s="606"/>
      <c r="AB36" s="254"/>
      <c r="AC36" s="254"/>
      <c r="AD36" s="286"/>
      <c r="AE36" s="254"/>
      <c r="AF36" s="254"/>
      <c r="AG36" s="254"/>
      <c r="AH36" s="254"/>
      <c r="AI36" s="254"/>
      <c r="AJ36" s="254"/>
    </row>
    <row r="37" spans="1:36" ht="24.95" customHeight="1" x14ac:dyDescent="0.25">
      <c r="B37" s="607"/>
      <c r="C37" s="607"/>
      <c r="D37" s="607"/>
      <c r="E37" s="607"/>
      <c r="F37" s="607"/>
      <c r="G37" s="607"/>
      <c r="H37" s="607"/>
      <c r="I37" s="607"/>
      <c r="J37" s="607"/>
      <c r="K37" s="607"/>
      <c r="L37" s="607"/>
      <c r="M37" s="607"/>
      <c r="N37" s="607"/>
      <c r="O37" s="607"/>
      <c r="P37" s="607"/>
      <c r="Q37" s="607"/>
      <c r="R37" s="607"/>
      <c r="S37" s="607"/>
      <c r="T37" s="607"/>
      <c r="U37" s="607"/>
      <c r="V37" s="607"/>
      <c r="W37" s="607"/>
      <c r="X37" s="607"/>
      <c r="Y37" s="607"/>
      <c r="AB37" s="254"/>
      <c r="AC37" s="254"/>
      <c r="AD37" s="254"/>
      <c r="AE37" s="254"/>
      <c r="AF37" s="254"/>
      <c r="AG37" s="254"/>
      <c r="AH37" s="254"/>
      <c r="AI37" s="254"/>
      <c r="AJ37" s="254"/>
    </row>
    <row r="38" spans="1:36" ht="24.95" customHeight="1" x14ac:dyDescent="0.25">
      <c r="B38" s="293"/>
      <c r="C38" s="293"/>
      <c r="D38" s="293"/>
      <c r="E38" s="293"/>
      <c r="F38" s="293"/>
      <c r="G38" s="293"/>
      <c r="H38" s="293"/>
      <c r="I38" s="293"/>
      <c r="J38" s="293"/>
      <c r="K38" s="293"/>
      <c r="L38" s="293"/>
      <c r="M38" s="293"/>
      <c r="N38" s="293"/>
      <c r="O38" s="293"/>
      <c r="P38" s="293"/>
      <c r="Q38" s="293"/>
      <c r="R38" s="293"/>
      <c r="S38" s="293"/>
      <c r="T38" s="293"/>
      <c r="U38" s="293"/>
      <c r="V38" s="293"/>
      <c r="W38" s="293"/>
      <c r="X38" s="293"/>
      <c r="Y38" s="293"/>
    </row>
    <row r="39" spans="1:36" ht="24.95" customHeight="1" x14ac:dyDescent="0.25">
      <c r="A39" s="54"/>
      <c r="B39" s="292" t="s">
        <v>88</v>
      </c>
      <c r="C39" s="288"/>
      <c r="D39" s="288"/>
      <c r="E39" s="288"/>
      <c r="F39" s="288"/>
      <c r="G39" s="288"/>
      <c r="H39" s="288"/>
      <c r="I39" s="288"/>
      <c r="J39" s="280"/>
      <c r="K39" s="280"/>
      <c r="L39" s="280"/>
      <c r="M39" s="289"/>
      <c r="N39" s="289"/>
      <c r="O39" s="289"/>
      <c r="P39" s="290"/>
      <c r="Q39" s="290"/>
      <c r="R39" s="290"/>
      <c r="S39" s="290"/>
      <c r="T39" s="290"/>
      <c r="U39" s="290"/>
      <c r="V39" s="290"/>
      <c r="W39" s="290"/>
      <c r="X39" s="290"/>
      <c r="Y39" s="290"/>
      <c r="Z39" s="54"/>
    </row>
    <row r="40" spans="1:36" ht="24.95" customHeight="1" x14ac:dyDescent="0.25">
      <c r="A40" s="54"/>
      <c r="B40" s="292" t="s">
        <v>89</v>
      </c>
      <c r="C40" s="280"/>
      <c r="D40" s="281"/>
      <c r="E40" s="281"/>
      <c r="F40" s="281"/>
      <c r="G40" s="281"/>
      <c r="H40" s="281"/>
      <c r="I40" s="281"/>
      <c r="J40" s="281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12"/>
      <c r="Z40" s="54"/>
      <c r="AB40" s="285"/>
      <c r="AC40" s="285"/>
      <c r="AD40" s="285"/>
      <c r="AE40" s="285"/>
      <c r="AF40" s="285"/>
      <c r="AG40" s="285"/>
      <c r="AH40" s="285"/>
      <c r="AI40" s="285"/>
      <c r="AJ40" s="285"/>
    </row>
    <row r="41" spans="1:36" ht="24.95" customHeight="1" x14ac:dyDescent="0.25">
      <c r="A41" s="54"/>
      <c r="B41" s="292" t="s">
        <v>90</v>
      </c>
      <c r="C41" s="280"/>
      <c r="D41" s="281"/>
      <c r="E41" s="281"/>
      <c r="F41" s="281"/>
      <c r="G41" s="281"/>
      <c r="H41" s="281"/>
      <c r="I41" s="281"/>
      <c r="J41" s="281"/>
      <c r="K41" s="284"/>
      <c r="L41" s="284"/>
      <c r="M41" s="284"/>
      <c r="N41" s="284"/>
      <c r="O41" s="284"/>
      <c r="P41" s="284"/>
      <c r="Q41" s="284"/>
      <c r="R41" s="284"/>
      <c r="S41" s="284"/>
      <c r="T41" s="284"/>
      <c r="U41" s="284"/>
      <c r="V41" s="284"/>
      <c r="W41" s="284"/>
      <c r="X41" s="284"/>
      <c r="Y41" s="12"/>
      <c r="Z41" s="54"/>
      <c r="AB41" s="285"/>
      <c r="AC41" s="285"/>
      <c r="AD41" s="285"/>
      <c r="AE41" s="285"/>
      <c r="AF41" s="285"/>
      <c r="AG41" s="285"/>
      <c r="AH41" s="285"/>
      <c r="AI41" s="285"/>
      <c r="AJ41" s="285"/>
    </row>
    <row r="42" spans="1:36" ht="24.95" customHeight="1" x14ac:dyDescent="0.25">
      <c r="A42" s="54"/>
      <c r="B42" s="292" t="s">
        <v>91</v>
      </c>
      <c r="C42" s="288"/>
      <c r="D42" s="288"/>
      <c r="E42" s="288"/>
      <c r="F42" s="288"/>
      <c r="G42" s="288"/>
      <c r="H42" s="288"/>
      <c r="I42" s="288"/>
      <c r="J42" s="280"/>
      <c r="K42" s="280"/>
      <c r="L42" s="280"/>
      <c r="M42" s="289"/>
      <c r="N42" s="289"/>
      <c r="O42" s="289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54"/>
    </row>
    <row r="43" spans="1:36" ht="24.95" customHeight="1" x14ac:dyDescent="0.25">
      <c r="A43" s="54"/>
      <c r="B43" s="292" t="s">
        <v>92</v>
      </c>
      <c r="C43" s="280"/>
      <c r="D43" s="281"/>
      <c r="E43" s="281"/>
      <c r="F43" s="281"/>
      <c r="G43" s="281"/>
      <c r="H43" s="281"/>
      <c r="I43" s="281"/>
      <c r="J43" s="281"/>
      <c r="K43" s="284"/>
      <c r="L43" s="284"/>
      <c r="M43" s="284"/>
      <c r="N43" s="284"/>
      <c r="O43" s="284"/>
      <c r="P43" s="284"/>
      <c r="Q43" s="284"/>
      <c r="R43" s="284"/>
      <c r="S43" s="284"/>
      <c r="T43" s="284"/>
      <c r="U43" s="284"/>
      <c r="V43" s="284"/>
      <c r="W43" s="284"/>
      <c r="X43" s="284"/>
      <c r="Y43" s="12"/>
      <c r="Z43" s="54"/>
      <c r="AB43" s="285"/>
      <c r="AC43" s="285"/>
      <c r="AD43" s="285"/>
      <c r="AE43" s="285"/>
      <c r="AF43" s="285"/>
      <c r="AG43" s="285"/>
      <c r="AH43" s="285"/>
      <c r="AI43" s="285"/>
      <c r="AJ43" s="285"/>
    </row>
    <row r="44" spans="1:36" ht="24.95" customHeight="1" x14ac:dyDescent="0.25">
      <c r="A44" s="54"/>
      <c r="B44" s="292" t="s">
        <v>93</v>
      </c>
      <c r="C44" s="280"/>
      <c r="D44" s="281"/>
      <c r="E44" s="281"/>
      <c r="F44" s="281"/>
      <c r="G44" s="281"/>
      <c r="H44" s="281"/>
      <c r="I44" s="281"/>
      <c r="J44" s="281"/>
      <c r="K44" s="284"/>
      <c r="L44" s="284"/>
      <c r="M44" s="284"/>
      <c r="N44" s="284"/>
      <c r="O44" s="284"/>
      <c r="P44" s="284"/>
      <c r="Q44" s="284"/>
      <c r="R44" s="284"/>
      <c r="S44" s="284"/>
      <c r="T44" s="284"/>
      <c r="U44" s="284"/>
      <c r="V44" s="284"/>
      <c r="W44" s="284"/>
      <c r="X44" s="284"/>
      <c r="Y44" s="12"/>
      <c r="Z44" s="54"/>
      <c r="AB44" s="285"/>
      <c r="AC44" s="285"/>
      <c r="AD44" s="285"/>
      <c r="AE44" s="285"/>
      <c r="AF44" s="285"/>
      <c r="AG44" s="285"/>
      <c r="AH44" s="285"/>
      <c r="AI44" s="285"/>
      <c r="AJ44" s="285"/>
    </row>
    <row r="45" spans="1:36" ht="24.95" customHeight="1" x14ac:dyDescent="0.25">
      <c r="A45" s="54"/>
      <c r="B45" s="280"/>
      <c r="C45" s="280"/>
      <c r="D45" s="281"/>
      <c r="E45" s="281"/>
      <c r="F45" s="281"/>
      <c r="G45" s="281"/>
      <c r="H45" s="281"/>
      <c r="I45" s="281"/>
      <c r="J45" s="281"/>
      <c r="K45" s="284"/>
      <c r="L45" s="284"/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12"/>
      <c r="Z45" s="54"/>
      <c r="AB45" s="285"/>
      <c r="AC45" s="285"/>
      <c r="AD45" s="285"/>
      <c r="AE45" s="285"/>
      <c r="AF45" s="285"/>
      <c r="AG45" s="285"/>
      <c r="AH45" s="285"/>
      <c r="AI45" s="285"/>
      <c r="AJ45" s="285"/>
    </row>
    <row r="46" spans="1:36" s="54" customFormat="1" ht="24.95" customHeight="1" x14ac:dyDescent="0.25">
      <c r="B46" s="505" t="s">
        <v>42</v>
      </c>
      <c r="C46" s="505"/>
      <c r="D46" s="505"/>
      <c r="E46" s="505"/>
      <c r="F46" s="505"/>
      <c r="G46" s="505"/>
      <c r="H46" s="505"/>
      <c r="I46" s="505"/>
      <c r="J46" s="505"/>
      <c r="K46" s="505"/>
      <c r="L46" s="505"/>
      <c r="M46" s="505"/>
      <c r="N46" s="505"/>
      <c r="O46" s="505"/>
      <c r="P46" s="505"/>
      <c r="Q46" s="505"/>
      <c r="R46" s="505"/>
      <c r="S46" s="505"/>
      <c r="T46" s="505"/>
      <c r="U46" s="505"/>
      <c r="V46" s="505"/>
      <c r="W46" s="505"/>
      <c r="X46" s="505"/>
      <c r="Y46" s="505"/>
      <c r="Z46" s="295"/>
      <c r="AB46" s="291"/>
      <c r="AC46" s="291"/>
      <c r="AD46" s="291"/>
      <c r="AE46" s="291"/>
      <c r="AF46" s="291"/>
      <c r="AG46" s="291"/>
      <c r="AH46" s="291"/>
      <c r="AI46" s="291"/>
      <c r="AJ46" s="291"/>
    </row>
    <row r="47" spans="1:36" s="54" customFormat="1" ht="24.95" customHeight="1" x14ac:dyDescent="0.25">
      <c r="B47" s="607" t="str">
        <f>"Declaro para os devidos fins que, conforme legislação tributária do município de "&amp;G14&amp;", a base de cálculo do ISS para "&amp;G15&amp;", é de "&amp;(G16*100)&amp;"%, com a respectiva alíquota de "&amp;ROUND(K16*100,2)&amp;"% sobre o valor da mão de  obra."</f>
        <v>Declaro para os devidos fins que, conforme legislação tributária do município de TERESINA - PI, a base de cálculo do ISS para Construção de Edifícios e Reformas (Quadras, unidades habitacionais, escolas, restaurantes, etc), é de 60%, com a respectiva alíquota de 3% sobre o valor da mão de  obra.</v>
      </c>
      <c r="C47" s="607"/>
      <c r="D47" s="607"/>
      <c r="E47" s="607"/>
      <c r="F47" s="607"/>
      <c r="G47" s="607"/>
      <c r="H47" s="607"/>
      <c r="I47" s="607"/>
      <c r="J47" s="607"/>
      <c r="K47" s="607"/>
      <c r="L47" s="607"/>
      <c r="M47" s="607"/>
      <c r="N47" s="607"/>
      <c r="O47" s="607"/>
      <c r="P47" s="607"/>
      <c r="Q47" s="607"/>
      <c r="R47" s="607"/>
      <c r="S47" s="607"/>
      <c r="T47" s="607"/>
      <c r="U47" s="607"/>
      <c r="V47" s="607"/>
      <c r="W47" s="607"/>
      <c r="X47" s="607"/>
      <c r="Y47" s="607"/>
      <c r="Z47" s="295"/>
      <c r="AB47" s="291"/>
      <c r="AC47" s="291"/>
      <c r="AD47" s="291"/>
      <c r="AE47" s="291"/>
      <c r="AF47" s="291"/>
      <c r="AG47" s="291"/>
      <c r="AH47" s="291"/>
      <c r="AI47" s="291"/>
      <c r="AJ47" s="291"/>
    </row>
    <row r="48" spans="1:36" s="54" customFormat="1" ht="24.95" customHeight="1" x14ac:dyDescent="0.25">
      <c r="B48" s="607"/>
      <c r="C48" s="607"/>
      <c r="D48" s="607"/>
      <c r="E48" s="607"/>
      <c r="F48" s="607"/>
      <c r="G48" s="607"/>
      <c r="H48" s="607"/>
      <c r="I48" s="607"/>
      <c r="J48" s="607"/>
      <c r="K48" s="607"/>
      <c r="L48" s="607"/>
      <c r="M48" s="607"/>
      <c r="N48" s="607"/>
      <c r="O48" s="607"/>
      <c r="P48" s="607"/>
      <c r="Q48" s="607"/>
      <c r="R48" s="607"/>
      <c r="S48" s="607"/>
      <c r="T48" s="607"/>
      <c r="U48" s="607"/>
      <c r="V48" s="607"/>
      <c r="W48" s="607"/>
      <c r="X48" s="607"/>
      <c r="Y48" s="607"/>
      <c r="Z48" s="295"/>
      <c r="AB48" s="291"/>
      <c r="AC48" s="291"/>
      <c r="AD48" s="291"/>
      <c r="AE48" s="291"/>
      <c r="AF48" s="291"/>
      <c r="AG48" s="291"/>
      <c r="AH48" s="291"/>
      <c r="AI48" s="291"/>
      <c r="AJ48" s="291"/>
    </row>
    <row r="49" spans="2:36" s="54" customFormat="1" ht="24.95" customHeight="1" x14ac:dyDescent="0.25">
      <c r="B49" s="607"/>
      <c r="C49" s="607"/>
      <c r="D49" s="607"/>
      <c r="E49" s="607"/>
      <c r="F49" s="607"/>
      <c r="G49" s="607"/>
      <c r="H49" s="607"/>
      <c r="I49" s="607"/>
      <c r="J49" s="607"/>
      <c r="K49" s="607"/>
      <c r="L49" s="607"/>
      <c r="M49" s="607"/>
      <c r="N49" s="607"/>
      <c r="O49" s="607"/>
      <c r="P49" s="607"/>
      <c r="Q49" s="607"/>
      <c r="R49" s="607"/>
      <c r="S49" s="607"/>
      <c r="T49" s="607"/>
      <c r="U49" s="607"/>
      <c r="V49" s="607"/>
      <c r="W49" s="607"/>
      <c r="X49" s="607"/>
      <c r="Y49" s="607"/>
      <c r="Z49" s="295"/>
      <c r="AB49" s="291"/>
      <c r="AC49" s="291"/>
      <c r="AD49" s="291"/>
      <c r="AE49" s="291"/>
      <c r="AF49" s="291"/>
      <c r="AG49" s="291"/>
      <c r="AH49" s="291"/>
      <c r="AI49" s="291"/>
      <c r="AJ49" s="291"/>
    </row>
    <row r="50" spans="2:36" s="54" customFormat="1" ht="24.95" customHeight="1" x14ac:dyDescent="0.25">
      <c r="B50" s="290"/>
      <c r="C50" s="290"/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290"/>
      <c r="O50" s="290"/>
      <c r="P50" s="290"/>
      <c r="Q50" s="290"/>
      <c r="R50" s="290"/>
      <c r="S50" s="290"/>
      <c r="T50" s="290"/>
      <c r="U50" s="290"/>
      <c r="V50" s="290"/>
      <c r="W50" s="290"/>
      <c r="X50" s="290"/>
      <c r="Y50" s="290"/>
      <c r="Z50" s="295"/>
      <c r="AB50" s="291"/>
      <c r="AC50" s="291"/>
      <c r="AD50" s="291"/>
      <c r="AE50" s="291"/>
      <c r="AF50" s="291"/>
      <c r="AG50" s="291"/>
      <c r="AH50" s="291"/>
      <c r="AI50" s="291"/>
      <c r="AJ50" s="291"/>
    </row>
    <row r="51" spans="2:36" s="54" customFormat="1" ht="24.95" customHeight="1" x14ac:dyDescent="0.25">
      <c r="B51" s="290"/>
      <c r="C51" s="290"/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5"/>
      <c r="AB51" s="291"/>
      <c r="AC51" s="291"/>
      <c r="AD51" s="291"/>
      <c r="AE51" s="291"/>
      <c r="AF51" s="291"/>
      <c r="AG51" s="291"/>
      <c r="AH51" s="291"/>
      <c r="AI51" s="291"/>
      <c r="AJ51" s="291"/>
    </row>
    <row r="52" spans="2:36" s="54" customFormat="1" ht="24.95" customHeight="1" x14ac:dyDescent="0.25">
      <c r="B52" s="290"/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5"/>
      <c r="AB52" s="291"/>
      <c r="AC52" s="291"/>
      <c r="AD52" s="291"/>
      <c r="AE52" s="291"/>
      <c r="AF52" s="291"/>
      <c r="AG52" s="291"/>
      <c r="AH52" s="291"/>
      <c r="AI52" s="291"/>
      <c r="AJ52" s="291"/>
    </row>
    <row r="53" spans="2:36" s="54" customFormat="1" ht="24.95" customHeight="1" x14ac:dyDescent="0.25">
      <c r="B53" s="290"/>
      <c r="C53" s="290"/>
      <c r="D53" s="290"/>
      <c r="E53" s="290"/>
      <c r="F53" s="290"/>
      <c r="G53" s="290"/>
      <c r="H53" s="290"/>
      <c r="I53" s="290"/>
      <c r="J53" s="290"/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  <c r="W53" s="290"/>
      <c r="X53" s="290"/>
      <c r="Y53" s="290"/>
      <c r="Z53" s="295"/>
      <c r="AB53" s="291"/>
      <c r="AC53" s="291"/>
      <c r="AD53" s="291"/>
      <c r="AE53" s="291"/>
      <c r="AF53" s="291"/>
      <c r="AG53" s="291"/>
      <c r="AH53" s="291"/>
      <c r="AI53" s="291"/>
      <c r="AJ53" s="291"/>
    </row>
    <row r="54" spans="2:36" s="54" customFormat="1" ht="24.95" customHeight="1" x14ac:dyDescent="0.25">
      <c r="B54" s="290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5"/>
      <c r="AB54" s="291"/>
      <c r="AC54" s="291"/>
      <c r="AD54" s="291"/>
      <c r="AE54" s="291"/>
      <c r="AF54" s="291"/>
      <c r="AG54" s="291"/>
      <c r="AH54" s="291"/>
      <c r="AI54" s="291"/>
      <c r="AJ54" s="291"/>
    </row>
    <row r="55" spans="2:36" s="54" customFormat="1" ht="24.95" customHeight="1" x14ac:dyDescent="0.25">
      <c r="B55" s="290"/>
      <c r="C55" s="290"/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5"/>
      <c r="AB55" s="291"/>
      <c r="AC55" s="291"/>
      <c r="AD55" s="291"/>
      <c r="AE55" s="291"/>
      <c r="AF55" s="291"/>
      <c r="AG55" s="291"/>
      <c r="AH55" s="291"/>
      <c r="AI55" s="291"/>
      <c r="AJ55" s="291"/>
    </row>
    <row r="56" spans="2:36" s="54" customFormat="1" ht="24.95" customHeight="1" x14ac:dyDescent="0.25">
      <c r="B56" s="290"/>
      <c r="C56" s="290"/>
      <c r="D56" s="290"/>
      <c r="E56" s="290"/>
      <c r="F56" s="290"/>
      <c r="G56" s="290"/>
      <c r="H56" s="290"/>
      <c r="I56" s="290"/>
      <c r="J56" s="290"/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5"/>
      <c r="AB56" s="291"/>
      <c r="AC56" s="291"/>
      <c r="AD56" s="291"/>
      <c r="AE56" s="291"/>
      <c r="AF56" s="291"/>
      <c r="AG56" s="291"/>
      <c r="AH56" s="291"/>
      <c r="AI56" s="291"/>
      <c r="AJ56" s="291"/>
    </row>
    <row r="57" spans="2:36" s="54" customFormat="1" ht="24.95" customHeight="1" x14ac:dyDescent="0.25">
      <c r="B57" s="290"/>
      <c r="C57" s="290"/>
      <c r="D57" s="290"/>
      <c r="E57" s="290"/>
      <c r="F57" s="290"/>
      <c r="G57" s="290"/>
      <c r="H57" s="290"/>
      <c r="I57" s="290"/>
      <c r="J57" s="290"/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5"/>
      <c r="AB57" s="291"/>
      <c r="AC57" s="291"/>
      <c r="AD57" s="291"/>
      <c r="AE57" s="291"/>
      <c r="AF57" s="291"/>
      <c r="AG57" s="291"/>
      <c r="AH57" s="291"/>
      <c r="AI57" s="291"/>
      <c r="AJ57" s="291"/>
    </row>
    <row r="58" spans="2:36" s="54" customFormat="1" ht="24.95" customHeight="1" x14ac:dyDescent="0.25">
      <c r="B58" s="290"/>
      <c r="C58" s="290"/>
      <c r="D58" s="290"/>
      <c r="E58" s="290"/>
      <c r="F58" s="290"/>
      <c r="G58" s="290"/>
      <c r="H58" s="290"/>
      <c r="I58" s="290"/>
      <c r="J58" s="290"/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5"/>
      <c r="AB58" s="291"/>
      <c r="AC58" s="291"/>
      <c r="AD58" s="291"/>
      <c r="AE58" s="291"/>
      <c r="AF58" s="291"/>
      <c r="AG58" s="291"/>
      <c r="AH58" s="291"/>
      <c r="AI58" s="291"/>
      <c r="AJ58" s="291"/>
    </row>
    <row r="59" spans="2:36" s="54" customFormat="1" ht="24.95" customHeight="1" x14ac:dyDescent="0.25">
      <c r="B59" s="290"/>
      <c r="C59" s="290"/>
      <c r="D59" s="290"/>
      <c r="E59" s="290"/>
      <c r="F59" s="290"/>
      <c r="G59" s="290"/>
      <c r="H59" s="290"/>
      <c r="I59" s="290"/>
      <c r="J59" s="290"/>
      <c r="K59" s="290"/>
      <c r="L59" s="290"/>
      <c r="M59" s="290"/>
      <c r="N59" s="290"/>
      <c r="O59" s="290"/>
      <c r="P59" s="290"/>
      <c r="Q59" s="290"/>
      <c r="R59" s="290"/>
      <c r="S59" s="290"/>
      <c r="T59" s="290"/>
      <c r="U59" s="290"/>
      <c r="V59" s="290"/>
      <c r="W59" s="290"/>
      <c r="X59" s="290"/>
      <c r="Y59" s="290"/>
      <c r="Z59" s="295"/>
      <c r="AB59" s="291"/>
      <c r="AC59" s="291"/>
      <c r="AD59" s="291"/>
      <c r="AE59" s="291"/>
      <c r="AF59" s="291"/>
      <c r="AG59" s="291"/>
      <c r="AH59" s="291"/>
      <c r="AI59" s="291"/>
      <c r="AJ59" s="291"/>
    </row>
    <row r="60" spans="2:36" s="54" customFormat="1" ht="24.95" customHeight="1" x14ac:dyDescent="0.25">
      <c r="B60" s="290"/>
      <c r="C60" s="290"/>
      <c r="D60" s="290"/>
      <c r="E60" s="290"/>
      <c r="F60" s="290"/>
      <c r="G60" s="290"/>
      <c r="H60" s="290"/>
      <c r="I60" s="290"/>
      <c r="J60" s="290"/>
      <c r="K60" s="290"/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5"/>
      <c r="AB60" s="291"/>
      <c r="AC60" s="291"/>
      <c r="AD60" s="291"/>
      <c r="AE60" s="291"/>
      <c r="AF60" s="291"/>
      <c r="AG60" s="291"/>
      <c r="AH60" s="291"/>
      <c r="AI60" s="291"/>
      <c r="AJ60" s="291"/>
    </row>
    <row r="61" spans="2:36" s="54" customFormat="1" ht="24.95" customHeight="1" x14ac:dyDescent="0.25"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5"/>
      <c r="AB61" s="291"/>
      <c r="AC61" s="291"/>
      <c r="AD61" s="291"/>
      <c r="AE61" s="291"/>
      <c r="AF61" s="291"/>
      <c r="AG61" s="291"/>
      <c r="AH61" s="291"/>
      <c r="AI61" s="291"/>
      <c r="AJ61" s="291"/>
    </row>
    <row r="62" spans="2:36" s="54" customFormat="1" ht="24.95" customHeight="1" x14ac:dyDescent="0.25">
      <c r="B62" s="290"/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  <c r="R62" s="290"/>
      <c r="S62" s="290"/>
      <c r="T62" s="290"/>
      <c r="U62" s="290"/>
      <c r="V62" s="290"/>
      <c r="W62" s="290"/>
      <c r="X62" s="290"/>
      <c r="Y62" s="290"/>
      <c r="Z62" s="295"/>
      <c r="AB62" s="291"/>
      <c r="AC62" s="291"/>
      <c r="AD62" s="291"/>
      <c r="AE62" s="291"/>
      <c r="AF62" s="291"/>
      <c r="AG62" s="291"/>
      <c r="AH62" s="291"/>
      <c r="AI62" s="291"/>
      <c r="AJ62" s="291"/>
    </row>
    <row r="63" spans="2:36" s="54" customFormat="1" ht="24.95" customHeight="1" x14ac:dyDescent="0.25">
      <c r="B63" s="290"/>
      <c r="C63" s="290"/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  <c r="R63" s="290"/>
      <c r="S63" s="290"/>
      <c r="T63" s="290"/>
      <c r="U63" s="290"/>
      <c r="V63" s="290"/>
      <c r="W63" s="290"/>
      <c r="X63" s="290"/>
      <c r="Y63" s="290"/>
      <c r="Z63" s="295"/>
      <c r="AB63" s="291"/>
      <c r="AC63" s="291"/>
      <c r="AD63" s="291"/>
      <c r="AE63" s="291"/>
      <c r="AF63" s="291"/>
      <c r="AG63" s="291"/>
      <c r="AH63" s="291"/>
      <c r="AI63" s="291"/>
      <c r="AJ63" s="291"/>
    </row>
    <row r="64" spans="2:36" s="54" customFormat="1" ht="24.95" customHeight="1" x14ac:dyDescent="0.25">
      <c r="B64" s="290"/>
      <c r="C64" s="290"/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0"/>
      <c r="O64" s="290"/>
      <c r="P64" s="290"/>
      <c r="Q64" s="290"/>
      <c r="R64" s="290"/>
      <c r="S64" s="290"/>
      <c r="T64" s="290"/>
      <c r="U64" s="290"/>
      <c r="V64" s="290"/>
      <c r="W64" s="290"/>
      <c r="X64" s="290"/>
      <c r="Y64" s="290"/>
      <c r="Z64" s="295"/>
      <c r="AB64" s="291"/>
      <c r="AC64" s="291"/>
      <c r="AD64" s="291"/>
      <c r="AE64" s="291"/>
      <c r="AF64" s="291"/>
      <c r="AG64" s="291"/>
      <c r="AH64" s="291"/>
      <c r="AI64" s="291"/>
      <c r="AJ64" s="291"/>
    </row>
    <row r="65" spans="2:36" s="54" customFormat="1" ht="24.95" customHeight="1" x14ac:dyDescent="0.25">
      <c r="B65" s="290"/>
      <c r="C65" s="290"/>
      <c r="D65" s="290"/>
      <c r="E65" s="290"/>
      <c r="F65" s="290"/>
      <c r="G65" s="290"/>
      <c r="H65" s="290"/>
      <c r="I65" s="290"/>
      <c r="J65" s="290"/>
      <c r="K65" s="290"/>
      <c r="L65" s="290"/>
      <c r="M65" s="290"/>
      <c r="N65" s="290"/>
      <c r="O65" s="290"/>
      <c r="P65" s="290"/>
      <c r="Q65" s="290"/>
      <c r="R65" s="290"/>
      <c r="S65" s="290"/>
      <c r="T65" s="290"/>
      <c r="U65" s="290"/>
      <c r="V65" s="290"/>
      <c r="W65" s="290"/>
      <c r="X65" s="290"/>
      <c r="Y65" s="290"/>
      <c r="Z65" s="295"/>
      <c r="AB65" s="291"/>
      <c r="AC65" s="291"/>
      <c r="AD65" s="291"/>
      <c r="AE65" s="291"/>
      <c r="AF65" s="291"/>
      <c r="AG65" s="291"/>
      <c r="AH65" s="291"/>
      <c r="AI65" s="291"/>
      <c r="AJ65" s="291"/>
    </row>
    <row r="66" spans="2:36" s="54" customFormat="1" ht="24.95" customHeight="1" x14ac:dyDescent="0.25">
      <c r="B66" s="290"/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290"/>
      <c r="T66" s="290"/>
      <c r="U66" s="290"/>
      <c r="V66" s="290"/>
      <c r="W66" s="290"/>
      <c r="X66" s="290"/>
      <c r="Y66" s="290"/>
      <c r="Z66" s="295"/>
      <c r="AB66" s="291"/>
      <c r="AC66" s="291"/>
      <c r="AD66" s="291"/>
      <c r="AE66" s="291"/>
      <c r="AF66" s="291"/>
      <c r="AG66" s="291"/>
      <c r="AH66" s="291"/>
      <c r="AI66" s="291"/>
      <c r="AJ66" s="291"/>
    </row>
    <row r="67" spans="2:36" s="54" customFormat="1" ht="24.95" customHeight="1" x14ac:dyDescent="0.25"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0"/>
      <c r="T67" s="290"/>
      <c r="U67" s="290"/>
      <c r="V67" s="290"/>
      <c r="W67" s="290"/>
      <c r="X67" s="290"/>
      <c r="Y67" s="290"/>
      <c r="Z67" s="295"/>
      <c r="AB67" s="291"/>
      <c r="AC67" s="291"/>
      <c r="AD67" s="291"/>
      <c r="AE67" s="291"/>
      <c r="AF67" s="291"/>
      <c r="AG67" s="291"/>
      <c r="AH67" s="291"/>
      <c r="AI67" s="291"/>
      <c r="AJ67" s="291"/>
    </row>
    <row r="68" spans="2:36" s="54" customFormat="1" ht="24.95" customHeight="1" x14ac:dyDescent="0.25">
      <c r="B68" s="290"/>
      <c r="C68" s="290"/>
      <c r="D68" s="290"/>
      <c r="E68" s="290"/>
      <c r="F68" s="290"/>
      <c r="G68" s="290"/>
      <c r="H68" s="290"/>
      <c r="I68" s="290"/>
      <c r="J68" s="290"/>
      <c r="K68" s="290"/>
      <c r="L68" s="290"/>
      <c r="M68" s="290"/>
      <c r="N68" s="290"/>
      <c r="O68" s="290"/>
      <c r="P68" s="290"/>
      <c r="Q68" s="290"/>
      <c r="R68" s="290"/>
      <c r="S68" s="290"/>
      <c r="T68" s="290"/>
      <c r="U68" s="290"/>
      <c r="V68" s="290"/>
      <c r="W68" s="290"/>
      <c r="X68" s="290"/>
      <c r="Y68" s="290"/>
      <c r="Z68" s="295"/>
      <c r="AB68" s="291"/>
      <c r="AC68" s="291"/>
      <c r="AD68" s="291"/>
      <c r="AE68" s="291"/>
      <c r="AF68" s="291"/>
      <c r="AG68" s="291"/>
      <c r="AH68" s="291"/>
      <c r="AI68" s="291"/>
      <c r="AJ68" s="291"/>
    </row>
    <row r="69" spans="2:36" s="54" customFormat="1" ht="24.95" customHeight="1" x14ac:dyDescent="0.25">
      <c r="Z69" s="295"/>
      <c r="AB69" s="291"/>
      <c r="AC69" s="291"/>
      <c r="AD69" s="291"/>
      <c r="AE69" s="291"/>
      <c r="AF69" s="291"/>
      <c r="AG69" s="291"/>
      <c r="AH69" s="291"/>
      <c r="AI69" s="291"/>
      <c r="AJ69" s="291"/>
    </row>
    <row r="70" spans="2:36" s="54" customFormat="1" ht="24.95" customHeight="1" x14ac:dyDescent="0.25">
      <c r="Z70" s="295"/>
      <c r="AB70" s="291"/>
      <c r="AC70" s="291"/>
      <c r="AD70" s="291"/>
      <c r="AE70" s="291"/>
      <c r="AF70" s="291"/>
      <c r="AG70" s="291"/>
      <c r="AH70" s="291"/>
      <c r="AI70" s="291"/>
      <c r="AJ70" s="291"/>
    </row>
    <row r="71" spans="2:36" s="54" customFormat="1" ht="24.95" customHeight="1" x14ac:dyDescent="0.25">
      <c r="Z71" s="295"/>
      <c r="AB71" s="291"/>
      <c r="AC71" s="291"/>
      <c r="AD71" s="291"/>
      <c r="AE71" s="291"/>
      <c r="AF71" s="291"/>
      <c r="AG71" s="291"/>
      <c r="AH71" s="291"/>
      <c r="AI71" s="291"/>
      <c r="AJ71" s="291"/>
    </row>
    <row r="72" spans="2:36" s="54" customFormat="1" ht="24.95" customHeight="1" x14ac:dyDescent="0.25">
      <c r="Z72" s="295"/>
      <c r="AB72" s="291"/>
      <c r="AC72" s="291"/>
      <c r="AD72" s="291"/>
      <c r="AE72" s="291"/>
      <c r="AF72" s="291"/>
      <c r="AG72" s="291"/>
      <c r="AH72" s="291"/>
      <c r="AI72" s="291"/>
      <c r="AJ72" s="291"/>
    </row>
    <row r="73" spans="2:36" s="54" customFormat="1" ht="24.95" customHeight="1" x14ac:dyDescent="0.25">
      <c r="Z73" s="295"/>
      <c r="AB73" s="291"/>
      <c r="AC73" s="291"/>
      <c r="AD73" s="291"/>
      <c r="AE73" s="291"/>
      <c r="AF73" s="291"/>
      <c r="AG73" s="291"/>
      <c r="AH73" s="291"/>
      <c r="AI73" s="291"/>
      <c r="AJ73" s="291"/>
    </row>
    <row r="74" spans="2:36" s="54" customFormat="1" ht="24.95" customHeight="1" x14ac:dyDescent="0.25">
      <c r="Z74" s="295"/>
      <c r="AB74" s="291"/>
      <c r="AC74" s="291"/>
      <c r="AD74" s="291"/>
      <c r="AE74" s="291"/>
      <c r="AF74" s="291"/>
      <c r="AG74" s="291"/>
      <c r="AH74" s="291"/>
      <c r="AI74" s="291"/>
      <c r="AJ74" s="291"/>
    </row>
  </sheetData>
  <mergeCells count="31">
    <mergeCell ref="B36:Y36"/>
    <mergeCell ref="B37:Y37"/>
    <mergeCell ref="B46:Y46"/>
    <mergeCell ref="B47:Y49"/>
    <mergeCell ref="P33:V33"/>
    <mergeCell ref="B35:Y35"/>
    <mergeCell ref="I29:L29"/>
    <mergeCell ref="I30:L30"/>
    <mergeCell ref="I31:L31"/>
    <mergeCell ref="P31:V31"/>
    <mergeCell ref="B34:Y34"/>
    <mergeCell ref="I28:L28"/>
    <mergeCell ref="I25:L25"/>
    <mergeCell ref="B14:F14"/>
    <mergeCell ref="B15:F15"/>
    <mergeCell ref="B16:F16"/>
    <mergeCell ref="G16:I16"/>
    <mergeCell ref="G14:Y14"/>
    <mergeCell ref="G15:Y15"/>
    <mergeCell ref="E20:H21"/>
    <mergeCell ref="I20:L21"/>
    <mergeCell ref="P20:V20"/>
    <mergeCell ref="I22:L22"/>
    <mergeCell ref="I23:L23"/>
    <mergeCell ref="I24:L24"/>
    <mergeCell ref="B13:F13"/>
    <mergeCell ref="B1:Y6"/>
    <mergeCell ref="G13:Y13"/>
    <mergeCell ref="I26:L26"/>
    <mergeCell ref="I27:L27"/>
    <mergeCell ref="D11:S11"/>
  </mergeCells>
  <conditionalFormatting sqref="G14:Y15">
    <cfRule type="cellIs" dxfId="16" priority="2" stopIfTrue="1" operator="equal">
      <formula>0</formula>
    </cfRule>
  </conditionalFormatting>
  <conditionalFormatting sqref="I22:I28">
    <cfRule type="cellIs" dxfId="15" priority="1" stopIfTrue="1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7" orientation="portrait" r:id="rId1"/>
  <headerFooter>
    <oddFooter>&amp;L&amp;"Arial Narrow,Normal"&amp;10&amp;A
&amp;F&amp;R&amp;"Arial Narrow,Normal"&amp;10Página &amp;P de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U74"/>
  <sheetViews>
    <sheetView showGridLines="0" view="pageBreakPreview" zoomScaleNormal="100" zoomScaleSheetLayoutView="100" workbookViewId="0">
      <selection activeCell="I30" sqref="I30:L30"/>
    </sheetView>
  </sheetViews>
  <sheetFormatPr defaultColWidth="3.5703125" defaultRowHeight="12.75" x14ac:dyDescent="0.25"/>
  <cols>
    <col min="1" max="1" width="1.5703125" style="262" customWidth="1"/>
    <col min="2" max="2" width="5.42578125" style="262" customWidth="1"/>
    <col min="3" max="3" width="2.5703125" style="262" customWidth="1"/>
    <col min="4" max="5" width="5.42578125" style="262" customWidth="1"/>
    <col min="6" max="6" width="10.42578125" style="262" customWidth="1"/>
    <col min="7" max="14" width="6.5703125" style="262" customWidth="1"/>
    <col min="15" max="15" width="4.42578125" style="262" customWidth="1"/>
    <col min="16" max="22" width="5.5703125" style="262" customWidth="1"/>
    <col min="23" max="24" width="4.42578125" style="262" customWidth="1"/>
    <col min="25" max="25" width="8.42578125" style="262" customWidth="1"/>
    <col min="26" max="26" width="1.5703125" style="295" customWidth="1"/>
    <col min="27" max="27" width="3.5703125" style="262" customWidth="1"/>
    <col min="28" max="28" width="19.42578125" style="265" customWidth="1"/>
    <col min="29" max="29" width="8.5703125" style="265" customWidth="1"/>
    <col min="30" max="31" width="9.140625" style="265" customWidth="1"/>
    <col min="32" max="32" width="3.5703125" style="265"/>
    <col min="33" max="33" width="10.85546875" style="265" hidden="1" customWidth="1"/>
    <col min="34" max="34" width="7" style="265" hidden="1" customWidth="1"/>
    <col min="35" max="36" width="3.5703125" style="265"/>
    <col min="37" max="41" width="3.5703125" style="262"/>
    <col min="42" max="42" width="5.5703125" style="262" bestFit="1" customWidth="1"/>
    <col min="43" max="44" width="3.5703125" style="262"/>
    <col min="45" max="45" width="6.5703125" style="262" bestFit="1" customWidth="1"/>
    <col min="46" max="46" width="3.5703125" style="262"/>
    <col min="47" max="47" width="5.5703125" style="262" bestFit="1" customWidth="1"/>
    <col min="48" max="259" width="3.5703125" style="262"/>
    <col min="260" max="260" width="11.42578125" style="262" customWidth="1"/>
    <col min="261" max="261" width="1.85546875" style="262" customWidth="1"/>
    <col min="262" max="265" width="5.42578125" style="262" customWidth="1"/>
    <col min="266" max="266" width="10.42578125" style="262" customWidth="1"/>
    <col min="267" max="267" width="7.85546875" style="262" customWidth="1"/>
    <col min="268" max="268" width="8.85546875" style="262" customWidth="1"/>
    <col min="269" max="269" width="8.42578125" style="262" customWidth="1"/>
    <col min="270" max="270" width="4.42578125" style="262" customWidth="1"/>
    <col min="271" max="272" width="4.140625" style="262" customWidth="1"/>
    <col min="273" max="273" width="6.85546875" style="262" customWidth="1"/>
    <col min="274" max="274" width="4.140625" style="262" customWidth="1"/>
    <col min="275" max="280" width="4.42578125" style="262" customWidth="1"/>
    <col min="281" max="281" width="7" style="262" customWidth="1"/>
    <col min="282" max="282" width="0" style="262" hidden="1" customWidth="1"/>
    <col min="283" max="286" width="3.5703125" style="262" customWidth="1"/>
    <col min="287" max="288" width="3.5703125" style="262"/>
    <col min="289" max="290" width="0" style="262" hidden="1" customWidth="1"/>
    <col min="291" max="297" width="3.5703125" style="262"/>
    <col min="298" max="298" width="5.5703125" style="262" bestFit="1" customWidth="1"/>
    <col min="299" max="300" width="3.5703125" style="262"/>
    <col min="301" max="301" width="6.5703125" style="262" bestFit="1" customWidth="1"/>
    <col min="302" max="302" width="3.5703125" style="262"/>
    <col min="303" max="303" width="5.5703125" style="262" bestFit="1" customWidth="1"/>
    <col min="304" max="515" width="3.5703125" style="262"/>
    <col min="516" max="516" width="11.42578125" style="262" customWidth="1"/>
    <col min="517" max="517" width="1.85546875" style="262" customWidth="1"/>
    <col min="518" max="521" width="5.42578125" style="262" customWidth="1"/>
    <col min="522" max="522" width="10.42578125" style="262" customWidth="1"/>
    <col min="523" max="523" width="7.85546875" style="262" customWidth="1"/>
    <col min="524" max="524" width="8.85546875" style="262" customWidth="1"/>
    <col min="525" max="525" width="8.42578125" style="262" customWidth="1"/>
    <col min="526" max="526" width="4.42578125" style="262" customWidth="1"/>
    <col min="527" max="528" width="4.140625" style="262" customWidth="1"/>
    <col min="529" max="529" width="6.85546875" style="262" customWidth="1"/>
    <col min="530" max="530" width="4.140625" style="262" customWidth="1"/>
    <col min="531" max="536" width="4.42578125" style="262" customWidth="1"/>
    <col min="537" max="537" width="7" style="262" customWidth="1"/>
    <col min="538" max="538" width="0" style="262" hidden="1" customWidth="1"/>
    <col min="539" max="542" width="3.5703125" style="262" customWidth="1"/>
    <col min="543" max="544" width="3.5703125" style="262"/>
    <col min="545" max="546" width="0" style="262" hidden="1" customWidth="1"/>
    <col min="547" max="553" width="3.5703125" style="262"/>
    <col min="554" max="554" width="5.5703125" style="262" bestFit="1" customWidth="1"/>
    <col min="555" max="556" width="3.5703125" style="262"/>
    <col min="557" max="557" width="6.5703125" style="262" bestFit="1" customWidth="1"/>
    <col min="558" max="558" width="3.5703125" style="262"/>
    <col min="559" max="559" width="5.5703125" style="262" bestFit="1" customWidth="1"/>
    <col min="560" max="771" width="3.5703125" style="262"/>
    <col min="772" max="772" width="11.42578125" style="262" customWidth="1"/>
    <col min="773" max="773" width="1.85546875" style="262" customWidth="1"/>
    <col min="774" max="777" width="5.42578125" style="262" customWidth="1"/>
    <col min="778" max="778" width="10.42578125" style="262" customWidth="1"/>
    <col min="779" max="779" width="7.85546875" style="262" customWidth="1"/>
    <col min="780" max="780" width="8.85546875" style="262" customWidth="1"/>
    <col min="781" max="781" width="8.42578125" style="262" customWidth="1"/>
    <col min="782" max="782" width="4.42578125" style="262" customWidth="1"/>
    <col min="783" max="784" width="4.140625" style="262" customWidth="1"/>
    <col min="785" max="785" width="6.85546875" style="262" customWidth="1"/>
    <col min="786" max="786" width="4.140625" style="262" customWidth="1"/>
    <col min="787" max="792" width="4.42578125" style="262" customWidth="1"/>
    <col min="793" max="793" width="7" style="262" customWidth="1"/>
    <col min="794" max="794" width="0" style="262" hidden="1" customWidth="1"/>
    <col min="795" max="798" width="3.5703125" style="262" customWidth="1"/>
    <col min="799" max="800" width="3.5703125" style="262"/>
    <col min="801" max="802" width="0" style="262" hidden="1" customWidth="1"/>
    <col min="803" max="809" width="3.5703125" style="262"/>
    <col min="810" max="810" width="5.5703125" style="262" bestFit="1" customWidth="1"/>
    <col min="811" max="812" width="3.5703125" style="262"/>
    <col min="813" max="813" width="6.5703125" style="262" bestFit="1" customWidth="1"/>
    <col min="814" max="814" width="3.5703125" style="262"/>
    <col min="815" max="815" width="5.5703125" style="262" bestFit="1" customWidth="1"/>
    <col min="816" max="1027" width="3.5703125" style="262"/>
    <col min="1028" max="1028" width="11.42578125" style="262" customWidth="1"/>
    <col min="1029" max="1029" width="1.85546875" style="262" customWidth="1"/>
    <col min="1030" max="1033" width="5.42578125" style="262" customWidth="1"/>
    <col min="1034" max="1034" width="10.42578125" style="262" customWidth="1"/>
    <col min="1035" max="1035" width="7.85546875" style="262" customWidth="1"/>
    <col min="1036" max="1036" width="8.85546875" style="262" customWidth="1"/>
    <col min="1037" max="1037" width="8.42578125" style="262" customWidth="1"/>
    <col min="1038" max="1038" width="4.42578125" style="262" customWidth="1"/>
    <col min="1039" max="1040" width="4.140625" style="262" customWidth="1"/>
    <col min="1041" max="1041" width="6.85546875" style="262" customWidth="1"/>
    <col min="1042" max="1042" width="4.140625" style="262" customWidth="1"/>
    <col min="1043" max="1048" width="4.42578125" style="262" customWidth="1"/>
    <col min="1049" max="1049" width="7" style="262" customWidth="1"/>
    <col min="1050" max="1050" width="0" style="262" hidden="1" customWidth="1"/>
    <col min="1051" max="1054" width="3.5703125" style="262" customWidth="1"/>
    <col min="1055" max="1056" width="3.5703125" style="262"/>
    <col min="1057" max="1058" width="0" style="262" hidden="1" customWidth="1"/>
    <col min="1059" max="1065" width="3.5703125" style="262"/>
    <col min="1066" max="1066" width="5.5703125" style="262" bestFit="1" customWidth="1"/>
    <col min="1067" max="1068" width="3.5703125" style="262"/>
    <col min="1069" max="1069" width="6.5703125" style="262" bestFit="1" customWidth="1"/>
    <col min="1070" max="1070" width="3.5703125" style="262"/>
    <col min="1071" max="1071" width="5.5703125" style="262" bestFit="1" customWidth="1"/>
    <col min="1072" max="1283" width="3.5703125" style="262"/>
    <col min="1284" max="1284" width="11.42578125" style="262" customWidth="1"/>
    <col min="1285" max="1285" width="1.85546875" style="262" customWidth="1"/>
    <col min="1286" max="1289" width="5.42578125" style="262" customWidth="1"/>
    <col min="1290" max="1290" width="10.42578125" style="262" customWidth="1"/>
    <col min="1291" max="1291" width="7.85546875" style="262" customWidth="1"/>
    <col min="1292" max="1292" width="8.85546875" style="262" customWidth="1"/>
    <col min="1293" max="1293" width="8.42578125" style="262" customWidth="1"/>
    <col min="1294" max="1294" width="4.42578125" style="262" customWidth="1"/>
    <col min="1295" max="1296" width="4.140625" style="262" customWidth="1"/>
    <col min="1297" max="1297" width="6.85546875" style="262" customWidth="1"/>
    <col min="1298" max="1298" width="4.140625" style="262" customWidth="1"/>
    <col min="1299" max="1304" width="4.42578125" style="262" customWidth="1"/>
    <col min="1305" max="1305" width="7" style="262" customWidth="1"/>
    <col min="1306" max="1306" width="0" style="262" hidden="1" customWidth="1"/>
    <col min="1307" max="1310" width="3.5703125" style="262" customWidth="1"/>
    <col min="1311" max="1312" width="3.5703125" style="262"/>
    <col min="1313" max="1314" width="0" style="262" hidden="1" customWidth="1"/>
    <col min="1315" max="1321" width="3.5703125" style="262"/>
    <col min="1322" max="1322" width="5.5703125" style="262" bestFit="1" customWidth="1"/>
    <col min="1323" max="1324" width="3.5703125" style="262"/>
    <col min="1325" max="1325" width="6.5703125" style="262" bestFit="1" customWidth="1"/>
    <col min="1326" max="1326" width="3.5703125" style="262"/>
    <col min="1327" max="1327" width="5.5703125" style="262" bestFit="1" customWidth="1"/>
    <col min="1328" max="1539" width="3.5703125" style="262"/>
    <col min="1540" max="1540" width="11.42578125" style="262" customWidth="1"/>
    <col min="1541" max="1541" width="1.85546875" style="262" customWidth="1"/>
    <col min="1542" max="1545" width="5.42578125" style="262" customWidth="1"/>
    <col min="1546" max="1546" width="10.42578125" style="262" customWidth="1"/>
    <col min="1547" max="1547" width="7.85546875" style="262" customWidth="1"/>
    <col min="1548" max="1548" width="8.85546875" style="262" customWidth="1"/>
    <col min="1549" max="1549" width="8.42578125" style="262" customWidth="1"/>
    <col min="1550" max="1550" width="4.42578125" style="262" customWidth="1"/>
    <col min="1551" max="1552" width="4.140625" style="262" customWidth="1"/>
    <col min="1553" max="1553" width="6.85546875" style="262" customWidth="1"/>
    <col min="1554" max="1554" width="4.140625" style="262" customWidth="1"/>
    <col min="1555" max="1560" width="4.42578125" style="262" customWidth="1"/>
    <col min="1561" max="1561" width="7" style="262" customWidth="1"/>
    <col min="1562" max="1562" width="0" style="262" hidden="1" customWidth="1"/>
    <col min="1563" max="1566" width="3.5703125" style="262" customWidth="1"/>
    <col min="1567" max="1568" width="3.5703125" style="262"/>
    <col min="1569" max="1570" width="0" style="262" hidden="1" customWidth="1"/>
    <col min="1571" max="1577" width="3.5703125" style="262"/>
    <col min="1578" max="1578" width="5.5703125" style="262" bestFit="1" customWidth="1"/>
    <col min="1579" max="1580" width="3.5703125" style="262"/>
    <col min="1581" max="1581" width="6.5703125" style="262" bestFit="1" customWidth="1"/>
    <col min="1582" max="1582" width="3.5703125" style="262"/>
    <col min="1583" max="1583" width="5.5703125" style="262" bestFit="1" customWidth="1"/>
    <col min="1584" max="1795" width="3.5703125" style="262"/>
    <col min="1796" max="1796" width="11.42578125" style="262" customWidth="1"/>
    <col min="1797" max="1797" width="1.85546875" style="262" customWidth="1"/>
    <col min="1798" max="1801" width="5.42578125" style="262" customWidth="1"/>
    <col min="1802" max="1802" width="10.42578125" style="262" customWidth="1"/>
    <col min="1803" max="1803" width="7.85546875" style="262" customWidth="1"/>
    <col min="1804" max="1804" width="8.85546875" style="262" customWidth="1"/>
    <col min="1805" max="1805" width="8.42578125" style="262" customWidth="1"/>
    <col min="1806" max="1806" width="4.42578125" style="262" customWidth="1"/>
    <col min="1807" max="1808" width="4.140625" style="262" customWidth="1"/>
    <col min="1809" max="1809" width="6.85546875" style="262" customWidth="1"/>
    <col min="1810" max="1810" width="4.140625" style="262" customWidth="1"/>
    <col min="1811" max="1816" width="4.42578125" style="262" customWidth="1"/>
    <col min="1817" max="1817" width="7" style="262" customWidth="1"/>
    <col min="1818" max="1818" width="0" style="262" hidden="1" customWidth="1"/>
    <col min="1819" max="1822" width="3.5703125" style="262" customWidth="1"/>
    <col min="1823" max="1824" width="3.5703125" style="262"/>
    <col min="1825" max="1826" width="0" style="262" hidden="1" customWidth="1"/>
    <col min="1827" max="1833" width="3.5703125" style="262"/>
    <col min="1834" max="1834" width="5.5703125" style="262" bestFit="1" customWidth="1"/>
    <col min="1835" max="1836" width="3.5703125" style="262"/>
    <col min="1837" max="1837" width="6.5703125" style="262" bestFit="1" customWidth="1"/>
    <col min="1838" max="1838" width="3.5703125" style="262"/>
    <col min="1839" max="1839" width="5.5703125" style="262" bestFit="1" customWidth="1"/>
    <col min="1840" max="2051" width="3.5703125" style="262"/>
    <col min="2052" max="2052" width="11.42578125" style="262" customWidth="1"/>
    <col min="2053" max="2053" width="1.85546875" style="262" customWidth="1"/>
    <col min="2054" max="2057" width="5.42578125" style="262" customWidth="1"/>
    <col min="2058" max="2058" width="10.42578125" style="262" customWidth="1"/>
    <col min="2059" max="2059" width="7.85546875" style="262" customWidth="1"/>
    <col min="2060" max="2060" width="8.85546875" style="262" customWidth="1"/>
    <col min="2061" max="2061" width="8.42578125" style="262" customWidth="1"/>
    <col min="2062" max="2062" width="4.42578125" style="262" customWidth="1"/>
    <col min="2063" max="2064" width="4.140625" style="262" customWidth="1"/>
    <col min="2065" max="2065" width="6.85546875" style="262" customWidth="1"/>
    <col min="2066" max="2066" width="4.140625" style="262" customWidth="1"/>
    <col min="2067" max="2072" width="4.42578125" style="262" customWidth="1"/>
    <col min="2073" max="2073" width="7" style="262" customWidth="1"/>
    <col min="2074" max="2074" width="0" style="262" hidden="1" customWidth="1"/>
    <col min="2075" max="2078" width="3.5703125" style="262" customWidth="1"/>
    <col min="2079" max="2080" width="3.5703125" style="262"/>
    <col min="2081" max="2082" width="0" style="262" hidden="1" customWidth="1"/>
    <col min="2083" max="2089" width="3.5703125" style="262"/>
    <col min="2090" max="2090" width="5.5703125" style="262" bestFit="1" customWidth="1"/>
    <col min="2091" max="2092" width="3.5703125" style="262"/>
    <col min="2093" max="2093" width="6.5703125" style="262" bestFit="1" customWidth="1"/>
    <col min="2094" max="2094" width="3.5703125" style="262"/>
    <col min="2095" max="2095" width="5.5703125" style="262" bestFit="1" customWidth="1"/>
    <col min="2096" max="2307" width="3.5703125" style="262"/>
    <col min="2308" max="2308" width="11.42578125" style="262" customWidth="1"/>
    <col min="2309" max="2309" width="1.85546875" style="262" customWidth="1"/>
    <col min="2310" max="2313" width="5.42578125" style="262" customWidth="1"/>
    <col min="2314" max="2314" width="10.42578125" style="262" customWidth="1"/>
    <col min="2315" max="2315" width="7.85546875" style="262" customWidth="1"/>
    <col min="2316" max="2316" width="8.85546875" style="262" customWidth="1"/>
    <col min="2317" max="2317" width="8.42578125" style="262" customWidth="1"/>
    <col min="2318" max="2318" width="4.42578125" style="262" customWidth="1"/>
    <col min="2319" max="2320" width="4.140625" style="262" customWidth="1"/>
    <col min="2321" max="2321" width="6.85546875" style="262" customWidth="1"/>
    <col min="2322" max="2322" width="4.140625" style="262" customWidth="1"/>
    <col min="2323" max="2328" width="4.42578125" style="262" customWidth="1"/>
    <col min="2329" max="2329" width="7" style="262" customWidth="1"/>
    <col min="2330" max="2330" width="0" style="262" hidden="1" customWidth="1"/>
    <col min="2331" max="2334" width="3.5703125" style="262" customWidth="1"/>
    <col min="2335" max="2336" width="3.5703125" style="262"/>
    <col min="2337" max="2338" width="0" style="262" hidden="1" customWidth="1"/>
    <col min="2339" max="2345" width="3.5703125" style="262"/>
    <col min="2346" max="2346" width="5.5703125" style="262" bestFit="1" customWidth="1"/>
    <col min="2347" max="2348" width="3.5703125" style="262"/>
    <col min="2349" max="2349" width="6.5703125" style="262" bestFit="1" customWidth="1"/>
    <col min="2350" max="2350" width="3.5703125" style="262"/>
    <col min="2351" max="2351" width="5.5703125" style="262" bestFit="1" customWidth="1"/>
    <col min="2352" max="2563" width="3.5703125" style="262"/>
    <col min="2564" max="2564" width="11.42578125" style="262" customWidth="1"/>
    <col min="2565" max="2565" width="1.85546875" style="262" customWidth="1"/>
    <col min="2566" max="2569" width="5.42578125" style="262" customWidth="1"/>
    <col min="2570" max="2570" width="10.42578125" style="262" customWidth="1"/>
    <col min="2571" max="2571" width="7.85546875" style="262" customWidth="1"/>
    <col min="2572" max="2572" width="8.85546875" style="262" customWidth="1"/>
    <col min="2573" max="2573" width="8.42578125" style="262" customWidth="1"/>
    <col min="2574" max="2574" width="4.42578125" style="262" customWidth="1"/>
    <col min="2575" max="2576" width="4.140625" style="262" customWidth="1"/>
    <col min="2577" max="2577" width="6.85546875" style="262" customWidth="1"/>
    <col min="2578" max="2578" width="4.140625" style="262" customWidth="1"/>
    <col min="2579" max="2584" width="4.42578125" style="262" customWidth="1"/>
    <col min="2585" max="2585" width="7" style="262" customWidth="1"/>
    <col min="2586" max="2586" width="0" style="262" hidden="1" customWidth="1"/>
    <col min="2587" max="2590" width="3.5703125" style="262" customWidth="1"/>
    <col min="2591" max="2592" width="3.5703125" style="262"/>
    <col min="2593" max="2594" width="0" style="262" hidden="1" customWidth="1"/>
    <col min="2595" max="2601" width="3.5703125" style="262"/>
    <col min="2602" max="2602" width="5.5703125" style="262" bestFit="1" customWidth="1"/>
    <col min="2603" max="2604" width="3.5703125" style="262"/>
    <col min="2605" max="2605" width="6.5703125" style="262" bestFit="1" customWidth="1"/>
    <col min="2606" max="2606" width="3.5703125" style="262"/>
    <col min="2607" max="2607" width="5.5703125" style="262" bestFit="1" customWidth="1"/>
    <col min="2608" max="2819" width="3.5703125" style="262"/>
    <col min="2820" max="2820" width="11.42578125" style="262" customWidth="1"/>
    <col min="2821" max="2821" width="1.85546875" style="262" customWidth="1"/>
    <col min="2822" max="2825" width="5.42578125" style="262" customWidth="1"/>
    <col min="2826" max="2826" width="10.42578125" style="262" customWidth="1"/>
    <col min="2827" max="2827" width="7.85546875" style="262" customWidth="1"/>
    <col min="2828" max="2828" width="8.85546875" style="262" customWidth="1"/>
    <col min="2829" max="2829" width="8.42578125" style="262" customWidth="1"/>
    <col min="2830" max="2830" width="4.42578125" style="262" customWidth="1"/>
    <col min="2831" max="2832" width="4.140625" style="262" customWidth="1"/>
    <col min="2833" max="2833" width="6.85546875" style="262" customWidth="1"/>
    <col min="2834" max="2834" width="4.140625" style="262" customWidth="1"/>
    <col min="2835" max="2840" width="4.42578125" style="262" customWidth="1"/>
    <col min="2841" max="2841" width="7" style="262" customWidth="1"/>
    <col min="2842" max="2842" width="0" style="262" hidden="1" customWidth="1"/>
    <col min="2843" max="2846" width="3.5703125" style="262" customWidth="1"/>
    <col min="2847" max="2848" width="3.5703125" style="262"/>
    <col min="2849" max="2850" width="0" style="262" hidden="1" customWidth="1"/>
    <col min="2851" max="2857" width="3.5703125" style="262"/>
    <col min="2858" max="2858" width="5.5703125" style="262" bestFit="1" customWidth="1"/>
    <col min="2859" max="2860" width="3.5703125" style="262"/>
    <col min="2861" max="2861" width="6.5703125" style="262" bestFit="1" customWidth="1"/>
    <col min="2862" max="2862" width="3.5703125" style="262"/>
    <col min="2863" max="2863" width="5.5703125" style="262" bestFit="1" customWidth="1"/>
    <col min="2864" max="3075" width="3.5703125" style="262"/>
    <col min="3076" max="3076" width="11.42578125" style="262" customWidth="1"/>
    <col min="3077" max="3077" width="1.85546875" style="262" customWidth="1"/>
    <col min="3078" max="3081" width="5.42578125" style="262" customWidth="1"/>
    <col min="3082" max="3082" width="10.42578125" style="262" customWidth="1"/>
    <col min="3083" max="3083" width="7.85546875" style="262" customWidth="1"/>
    <col min="3084" max="3084" width="8.85546875" style="262" customWidth="1"/>
    <col min="3085" max="3085" width="8.42578125" style="262" customWidth="1"/>
    <col min="3086" max="3086" width="4.42578125" style="262" customWidth="1"/>
    <col min="3087" max="3088" width="4.140625" style="262" customWidth="1"/>
    <col min="3089" max="3089" width="6.85546875" style="262" customWidth="1"/>
    <col min="3090" max="3090" width="4.140625" style="262" customWidth="1"/>
    <col min="3091" max="3096" width="4.42578125" style="262" customWidth="1"/>
    <col min="3097" max="3097" width="7" style="262" customWidth="1"/>
    <col min="3098" max="3098" width="0" style="262" hidden="1" customWidth="1"/>
    <col min="3099" max="3102" width="3.5703125" style="262" customWidth="1"/>
    <col min="3103" max="3104" width="3.5703125" style="262"/>
    <col min="3105" max="3106" width="0" style="262" hidden="1" customWidth="1"/>
    <col min="3107" max="3113" width="3.5703125" style="262"/>
    <col min="3114" max="3114" width="5.5703125" style="262" bestFit="1" customWidth="1"/>
    <col min="3115" max="3116" width="3.5703125" style="262"/>
    <col min="3117" max="3117" width="6.5703125" style="262" bestFit="1" customWidth="1"/>
    <col min="3118" max="3118" width="3.5703125" style="262"/>
    <col min="3119" max="3119" width="5.5703125" style="262" bestFit="1" customWidth="1"/>
    <col min="3120" max="3331" width="3.5703125" style="262"/>
    <col min="3332" max="3332" width="11.42578125" style="262" customWidth="1"/>
    <col min="3333" max="3333" width="1.85546875" style="262" customWidth="1"/>
    <col min="3334" max="3337" width="5.42578125" style="262" customWidth="1"/>
    <col min="3338" max="3338" width="10.42578125" style="262" customWidth="1"/>
    <col min="3339" max="3339" width="7.85546875" style="262" customWidth="1"/>
    <col min="3340" max="3340" width="8.85546875" style="262" customWidth="1"/>
    <col min="3341" max="3341" width="8.42578125" style="262" customWidth="1"/>
    <col min="3342" max="3342" width="4.42578125" style="262" customWidth="1"/>
    <col min="3343" max="3344" width="4.140625" style="262" customWidth="1"/>
    <col min="3345" max="3345" width="6.85546875" style="262" customWidth="1"/>
    <col min="3346" max="3346" width="4.140625" style="262" customWidth="1"/>
    <col min="3347" max="3352" width="4.42578125" style="262" customWidth="1"/>
    <col min="3353" max="3353" width="7" style="262" customWidth="1"/>
    <col min="3354" max="3354" width="0" style="262" hidden="1" customWidth="1"/>
    <col min="3355" max="3358" width="3.5703125" style="262" customWidth="1"/>
    <col min="3359" max="3360" width="3.5703125" style="262"/>
    <col min="3361" max="3362" width="0" style="262" hidden="1" customWidth="1"/>
    <col min="3363" max="3369" width="3.5703125" style="262"/>
    <col min="3370" max="3370" width="5.5703125" style="262" bestFit="1" customWidth="1"/>
    <col min="3371" max="3372" width="3.5703125" style="262"/>
    <col min="3373" max="3373" width="6.5703125" style="262" bestFit="1" customWidth="1"/>
    <col min="3374" max="3374" width="3.5703125" style="262"/>
    <col min="3375" max="3375" width="5.5703125" style="262" bestFit="1" customWidth="1"/>
    <col min="3376" max="3587" width="3.5703125" style="262"/>
    <col min="3588" max="3588" width="11.42578125" style="262" customWidth="1"/>
    <col min="3589" max="3589" width="1.85546875" style="262" customWidth="1"/>
    <col min="3590" max="3593" width="5.42578125" style="262" customWidth="1"/>
    <col min="3594" max="3594" width="10.42578125" style="262" customWidth="1"/>
    <col min="3595" max="3595" width="7.85546875" style="262" customWidth="1"/>
    <col min="3596" max="3596" width="8.85546875" style="262" customWidth="1"/>
    <col min="3597" max="3597" width="8.42578125" style="262" customWidth="1"/>
    <col min="3598" max="3598" width="4.42578125" style="262" customWidth="1"/>
    <col min="3599" max="3600" width="4.140625" style="262" customWidth="1"/>
    <col min="3601" max="3601" width="6.85546875" style="262" customWidth="1"/>
    <col min="3602" max="3602" width="4.140625" style="262" customWidth="1"/>
    <col min="3603" max="3608" width="4.42578125" style="262" customWidth="1"/>
    <col min="3609" max="3609" width="7" style="262" customWidth="1"/>
    <col min="3610" max="3610" width="0" style="262" hidden="1" customWidth="1"/>
    <col min="3611" max="3614" width="3.5703125" style="262" customWidth="1"/>
    <col min="3615" max="3616" width="3.5703125" style="262"/>
    <col min="3617" max="3618" width="0" style="262" hidden="1" customWidth="1"/>
    <col min="3619" max="3625" width="3.5703125" style="262"/>
    <col min="3626" max="3626" width="5.5703125" style="262" bestFit="1" customWidth="1"/>
    <col min="3627" max="3628" width="3.5703125" style="262"/>
    <col min="3629" max="3629" width="6.5703125" style="262" bestFit="1" customWidth="1"/>
    <col min="3630" max="3630" width="3.5703125" style="262"/>
    <col min="3631" max="3631" width="5.5703125" style="262" bestFit="1" customWidth="1"/>
    <col min="3632" max="3843" width="3.5703125" style="262"/>
    <col min="3844" max="3844" width="11.42578125" style="262" customWidth="1"/>
    <col min="3845" max="3845" width="1.85546875" style="262" customWidth="1"/>
    <col min="3846" max="3849" width="5.42578125" style="262" customWidth="1"/>
    <col min="3850" max="3850" width="10.42578125" style="262" customWidth="1"/>
    <col min="3851" max="3851" width="7.85546875" style="262" customWidth="1"/>
    <col min="3852" max="3852" width="8.85546875" style="262" customWidth="1"/>
    <col min="3853" max="3853" width="8.42578125" style="262" customWidth="1"/>
    <col min="3854" max="3854" width="4.42578125" style="262" customWidth="1"/>
    <col min="3855" max="3856" width="4.140625" style="262" customWidth="1"/>
    <col min="3857" max="3857" width="6.85546875" style="262" customWidth="1"/>
    <col min="3858" max="3858" width="4.140625" style="262" customWidth="1"/>
    <col min="3859" max="3864" width="4.42578125" style="262" customWidth="1"/>
    <col min="3865" max="3865" width="7" style="262" customWidth="1"/>
    <col min="3866" max="3866" width="0" style="262" hidden="1" customWidth="1"/>
    <col min="3867" max="3870" width="3.5703125" style="262" customWidth="1"/>
    <col min="3871" max="3872" width="3.5703125" style="262"/>
    <col min="3873" max="3874" width="0" style="262" hidden="1" customWidth="1"/>
    <col min="3875" max="3881" width="3.5703125" style="262"/>
    <col min="3882" max="3882" width="5.5703125" style="262" bestFit="1" customWidth="1"/>
    <col min="3883" max="3884" width="3.5703125" style="262"/>
    <col min="3885" max="3885" width="6.5703125" style="262" bestFit="1" customWidth="1"/>
    <col min="3886" max="3886" width="3.5703125" style="262"/>
    <col min="3887" max="3887" width="5.5703125" style="262" bestFit="1" customWidth="1"/>
    <col min="3888" max="4099" width="3.5703125" style="262"/>
    <col min="4100" max="4100" width="11.42578125" style="262" customWidth="1"/>
    <col min="4101" max="4101" width="1.85546875" style="262" customWidth="1"/>
    <col min="4102" max="4105" width="5.42578125" style="262" customWidth="1"/>
    <col min="4106" max="4106" width="10.42578125" style="262" customWidth="1"/>
    <col min="4107" max="4107" width="7.85546875" style="262" customWidth="1"/>
    <col min="4108" max="4108" width="8.85546875" style="262" customWidth="1"/>
    <col min="4109" max="4109" width="8.42578125" style="262" customWidth="1"/>
    <col min="4110" max="4110" width="4.42578125" style="262" customWidth="1"/>
    <col min="4111" max="4112" width="4.140625" style="262" customWidth="1"/>
    <col min="4113" max="4113" width="6.85546875" style="262" customWidth="1"/>
    <col min="4114" max="4114" width="4.140625" style="262" customWidth="1"/>
    <col min="4115" max="4120" width="4.42578125" style="262" customWidth="1"/>
    <col min="4121" max="4121" width="7" style="262" customWidth="1"/>
    <col min="4122" max="4122" width="0" style="262" hidden="1" customWidth="1"/>
    <col min="4123" max="4126" width="3.5703125" style="262" customWidth="1"/>
    <col min="4127" max="4128" width="3.5703125" style="262"/>
    <col min="4129" max="4130" width="0" style="262" hidden="1" customWidth="1"/>
    <col min="4131" max="4137" width="3.5703125" style="262"/>
    <col min="4138" max="4138" width="5.5703125" style="262" bestFit="1" customWidth="1"/>
    <col min="4139" max="4140" width="3.5703125" style="262"/>
    <col min="4141" max="4141" width="6.5703125" style="262" bestFit="1" customWidth="1"/>
    <col min="4142" max="4142" width="3.5703125" style="262"/>
    <col min="4143" max="4143" width="5.5703125" style="262" bestFit="1" customWidth="1"/>
    <col min="4144" max="4355" width="3.5703125" style="262"/>
    <col min="4356" max="4356" width="11.42578125" style="262" customWidth="1"/>
    <col min="4357" max="4357" width="1.85546875" style="262" customWidth="1"/>
    <col min="4358" max="4361" width="5.42578125" style="262" customWidth="1"/>
    <col min="4362" max="4362" width="10.42578125" style="262" customWidth="1"/>
    <col min="4363" max="4363" width="7.85546875" style="262" customWidth="1"/>
    <col min="4364" max="4364" width="8.85546875" style="262" customWidth="1"/>
    <col min="4365" max="4365" width="8.42578125" style="262" customWidth="1"/>
    <col min="4366" max="4366" width="4.42578125" style="262" customWidth="1"/>
    <col min="4367" max="4368" width="4.140625" style="262" customWidth="1"/>
    <col min="4369" max="4369" width="6.85546875" style="262" customWidth="1"/>
    <col min="4370" max="4370" width="4.140625" style="262" customWidth="1"/>
    <col min="4371" max="4376" width="4.42578125" style="262" customWidth="1"/>
    <col min="4377" max="4377" width="7" style="262" customWidth="1"/>
    <col min="4378" max="4378" width="0" style="262" hidden="1" customWidth="1"/>
    <col min="4379" max="4382" width="3.5703125" style="262" customWidth="1"/>
    <col min="4383" max="4384" width="3.5703125" style="262"/>
    <col min="4385" max="4386" width="0" style="262" hidden="1" customWidth="1"/>
    <col min="4387" max="4393" width="3.5703125" style="262"/>
    <col min="4394" max="4394" width="5.5703125" style="262" bestFit="1" customWidth="1"/>
    <col min="4395" max="4396" width="3.5703125" style="262"/>
    <col min="4397" max="4397" width="6.5703125" style="262" bestFit="1" customWidth="1"/>
    <col min="4398" max="4398" width="3.5703125" style="262"/>
    <col min="4399" max="4399" width="5.5703125" style="262" bestFit="1" customWidth="1"/>
    <col min="4400" max="4611" width="3.5703125" style="262"/>
    <col min="4612" max="4612" width="11.42578125" style="262" customWidth="1"/>
    <col min="4613" max="4613" width="1.85546875" style="262" customWidth="1"/>
    <col min="4614" max="4617" width="5.42578125" style="262" customWidth="1"/>
    <col min="4618" max="4618" width="10.42578125" style="262" customWidth="1"/>
    <col min="4619" max="4619" width="7.85546875" style="262" customWidth="1"/>
    <col min="4620" max="4620" width="8.85546875" style="262" customWidth="1"/>
    <col min="4621" max="4621" width="8.42578125" style="262" customWidth="1"/>
    <col min="4622" max="4622" width="4.42578125" style="262" customWidth="1"/>
    <col min="4623" max="4624" width="4.140625" style="262" customWidth="1"/>
    <col min="4625" max="4625" width="6.85546875" style="262" customWidth="1"/>
    <col min="4626" max="4626" width="4.140625" style="262" customWidth="1"/>
    <col min="4627" max="4632" width="4.42578125" style="262" customWidth="1"/>
    <col min="4633" max="4633" width="7" style="262" customWidth="1"/>
    <col min="4634" max="4634" width="0" style="262" hidden="1" customWidth="1"/>
    <col min="4635" max="4638" width="3.5703125" style="262" customWidth="1"/>
    <col min="4639" max="4640" width="3.5703125" style="262"/>
    <col min="4641" max="4642" width="0" style="262" hidden="1" customWidth="1"/>
    <col min="4643" max="4649" width="3.5703125" style="262"/>
    <col min="4650" max="4650" width="5.5703125" style="262" bestFit="1" customWidth="1"/>
    <col min="4651" max="4652" width="3.5703125" style="262"/>
    <col min="4653" max="4653" width="6.5703125" style="262" bestFit="1" customWidth="1"/>
    <col min="4654" max="4654" width="3.5703125" style="262"/>
    <col min="4655" max="4655" width="5.5703125" style="262" bestFit="1" customWidth="1"/>
    <col min="4656" max="4867" width="3.5703125" style="262"/>
    <col min="4868" max="4868" width="11.42578125" style="262" customWidth="1"/>
    <col min="4869" max="4869" width="1.85546875" style="262" customWidth="1"/>
    <col min="4870" max="4873" width="5.42578125" style="262" customWidth="1"/>
    <col min="4874" max="4874" width="10.42578125" style="262" customWidth="1"/>
    <col min="4875" max="4875" width="7.85546875" style="262" customWidth="1"/>
    <col min="4876" max="4876" width="8.85546875" style="262" customWidth="1"/>
    <col min="4877" max="4877" width="8.42578125" style="262" customWidth="1"/>
    <col min="4878" max="4878" width="4.42578125" style="262" customWidth="1"/>
    <col min="4879" max="4880" width="4.140625" style="262" customWidth="1"/>
    <col min="4881" max="4881" width="6.85546875" style="262" customWidth="1"/>
    <col min="4882" max="4882" width="4.140625" style="262" customWidth="1"/>
    <col min="4883" max="4888" width="4.42578125" style="262" customWidth="1"/>
    <col min="4889" max="4889" width="7" style="262" customWidth="1"/>
    <col min="4890" max="4890" width="0" style="262" hidden="1" customWidth="1"/>
    <col min="4891" max="4894" width="3.5703125" style="262" customWidth="1"/>
    <col min="4895" max="4896" width="3.5703125" style="262"/>
    <col min="4897" max="4898" width="0" style="262" hidden="1" customWidth="1"/>
    <col min="4899" max="4905" width="3.5703125" style="262"/>
    <col min="4906" max="4906" width="5.5703125" style="262" bestFit="1" customWidth="1"/>
    <col min="4907" max="4908" width="3.5703125" style="262"/>
    <col min="4909" max="4909" width="6.5703125" style="262" bestFit="1" customWidth="1"/>
    <col min="4910" max="4910" width="3.5703125" style="262"/>
    <col min="4911" max="4911" width="5.5703125" style="262" bestFit="1" customWidth="1"/>
    <col min="4912" max="5123" width="3.5703125" style="262"/>
    <col min="5124" max="5124" width="11.42578125" style="262" customWidth="1"/>
    <col min="5125" max="5125" width="1.85546875" style="262" customWidth="1"/>
    <col min="5126" max="5129" width="5.42578125" style="262" customWidth="1"/>
    <col min="5130" max="5130" width="10.42578125" style="262" customWidth="1"/>
    <col min="5131" max="5131" width="7.85546875" style="262" customWidth="1"/>
    <col min="5132" max="5132" width="8.85546875" style="262" customWidth="1"/>
    <col min="5133" max="5133" width="8.42578125" style="262" customWidth="1"/>
    <col min="5134" max="5134" width="4.42578125" style="262" customWidth="1"/>
    <col min="5135" max="5136" width="4.140625" style="262" customWidth="1"/>
    <col min="5137" max="5137" width="6.85546875" style="262" customWidth="1"/>
    <col min="5138" max="5138" width="4.140625" style="262" customWidth="1"/>
    <col min="5139" max="5144" width="4.42578125" style="262" customWidth="1"/>
    <col min="5145" max="5145" width="7" style="262" customWidth="1"/>
    <col min="5146" max="5146" width="0" style="262" hidden="1" customWidth="1"/>
    <col min="5147" max="5150" width="3.5703125" style="262" customWidth="1"/>
    <col min="5151" max="5152" width="3.5703125" style="262"/>
    <col min="5153" max="5154" width="0" style="262" hidden="1" customWidth="1"/>
    <col min="5155" max="5161" width="3.5703125" style="262"/>
    <col min="5162" max="5162" width="5.5703125" style="262" bestFit="1" customWidth="1"/>
    <col min="5163" max="5164" width="3.5703125" style="262"/>
    <col min="5165" max="5165" width="6.5703125" style="262" bestFit="1" customWidth="1"/>
    <col min="5166" max="5166" width="3.5703125" style="262"/>
    <col min="5167" max="5167" width="5.5703125" style="262" bestFit="1" customWidth="1"/>
    <col min="5168" max="5379" width="3.5703125" style="262"/>
    <col min="5380" max="5380" width="11.42578125" style="262" customWidth="1"/>
    <col min="5381" max="5381" width="1.85546875" style="262" customWidth="1"/>
    <col min="5382" max="5385" width="5.42578125" style="262" customWidth="1"/>
    <col min="5386" max="5386" width="10.42578125" style="262" customWidth="1"/>
    <col min="5387" max="5387" width="7.85546875" style="262" customWidth="1"/>
    <col min="5388" max="5388" width="8.85546875" style="262" customWidth="1"/>
    <col min="5389" max="5389" width="8.42578125" style="262" customWidth="1"/>
    <col min="5390" max="5390" width="4.42578125" style="262" customWidth="1"/>
    <col min="5391" max="5392" width="4.140625" style="262" customWidth="1"/>
    <col min="5393" max="5393" width="6.85546875" style="262" customWidth="1"/>
    <col min="5394" max="5394" width="4.140625" style="262" customWidth="1"/>
    <col min="5395" max="5400" width="4.42578125" style="262" customWidth="1"/>
    <col min="5401" max="5401" width="7" style="262" customWidth="1"/>
    <col min="5402" max="5402" width="0" style="262" hidden="1" customWidth="1"/>
    <col min="5403" max="5406" width="3.5703125" style="262" customWidth="1"/>
    <col min="5407" max="5408" width="3.5703125" style="262"/>
    <col min="5409" max="5410" width="0" style="262" hidden="1" customWidth="1"/>
    <col min="5411" max="5417" width="3.5703125" style="262"/>
    <col min="5418" max="5418" width="5.5703125" style="262" bestFit="1" customWidth="1"/>
    <col min="5419" max="5420" width="3.5703125" style="262"/>
    <col min="5421" max="5421" width="6.5703125" style="262" bestFit="1" customWidth="1"/>
    <col min="5422" max="5422" width="3.5703125" style="262"/>
    <col min="5423" max="5423" width="5.5703125" style="262" bestFit="1" customWidth="1"/>
    <col min="5424" max="5635" width="3.5703125" style="262"/>
    <col min="5636" max="5636" width="11.42578125" style="262" customWidth="1"/>
    <col min="5637" max="5637" width="1.85546875" style="262" customWidth="1"/>
    <col min="5638" max="5641" width="5.42578125" style="262" customWidth="1"/>
    <col min="5642" max="5642" width="10.42578125" style="262" customWidth="1"/>
    <col min="5643" max="5643" width="7.85546875" style="262" customWidth="1"/>
    <col min="5644" max="5644" width="8.85546875" style="262" customWidth="1"/>
    <col min="5645" max="5645" width="8.42578125" style="262" customWidth="1"/>
    <col min="5646" max="5646" width="4.42578125" style="262" customWidth="1"/>
    <col min="5647" max="5648" width="4.140625" style="262" customWidth="1"/>
    <col min="5649" max="5649" width="6.85546875" style="262" customWidth="1"/>
    <col min="5650" max="5650" width="4.140625" style="262" customWidth="1"/>
    <col min="5651" max="5656" width="4.42578125" style="262" customWidth="1"/>
    <col min="5657" max="5657" width="7" style="262" customWidth="1"/>
    <col min="5658" max="5658" width="0" style="262" hidden="1" customWidth="1"/>
    <col min="5659" max="5662" width="3.5703125" style="262" customWidth="1"/>
    <col min="5663" max="5664" width="3.5703125" style="262"/>
    <col min="5665" max="5666" width="0" style="262" hidden="1" customWidth="1"/>
    <col min="5667" max="5673" width="3.5703125" style="262"/>
    <col min="5674" max="5674" width="5.5703125" style="262" bestFit="1" customWidth="1"/>
    <col min="5675" max="5676" width="3.5703125" style="262"/>
    <col min="5677" max="5677" width="6.5703125" style="262" bestFit="1" customWidth="1"/>
    <col min="5678" max="5678" width="3.5703125" style="262"/>
    <col min="5679" max="5679" width="5.5703125" style="262" bestFit="1" customWidth="1"/>
    <col min="5680" max="5891" width="3.5703125" style="262"/>
    <col min="5892" max="5892" width="11.42578125" style="262" customWidth="1"/>
    <col min="5893" max="5893" width="1.85546875" style="262" customWidth="1"/>
    <col min="5894" max="5897" width="5.42578125" style="262" customWidth="1"/>
    <col min="5898" max="5898" width="10.42578125" style="262" customWidth="1"/>
    <col min="5899" max="5899" width="7.85546875" style="262" customWidth="1"/>
    <col min="5900" max="5900" width="8.85546875" style="262" customWidth="1"/>
    <col min="5901" max="5901" width="8.42578125" style="262" customWidth="1"/>
    <col min="5902" max="5902" width="4.42578125" style="262" customWidth="1"/>
    <col min="5903" max="5904" width="4.140625" style="262" customWidth="1"/>
    <col min="5905" max="5905" width="6.85546875" style="262" customWidth="1"/>
    <col min="5906" max="5906" width="4.140625" style="262" customWidth="1"/>
    <col min="5907" max="5912" width="4.42578125" style="262" customWidth="1"/>
    <col min="5913" max="5913" width="7" style="262" customWidth="1"/>
    <col min="5914" max="5914" width="0" style="262" hidden="1" customWidth="1"/>
    <col min="5915" max="5918" width="3.5703125" style="262" customWidth="1"/>
    <col min="5919" max="5920" width="3.5703125" style="262"/>
    <col min="5921" max="5922" width="0" style="262" hidden="1" customWidth="1"/>
    <col min="5923" max="5929" width="3.5703125" style="262"/>
    <col min="5930" max="5930" width="5.5703125" style="262" bestFit="1" customWidth="1"/>
    <col min="5931" max="5932" width="3.5703125" style="262"/>
    <col min="5933" max="5933" width="6.5703125" style="262" bestFit="1" customWidth="1"/>
    <col min="5934" max="5934" width="3.5703125" style="262"/>
    <col min="5935" max="5935" width="5.5703125" style="262" bestFit="1" customWidth="1"/>
    <col min="5936" max="6147" width="3.5703125" style="262"/>
    <col min="6148" max="6148" width="11.42578125" style="262" customWidth="1"/>
    <col min="6149" max="6149" width="1.85546875" style="262" customWidth="1"/>
    <col min="6150" max="6153" width="5.42578125" style="262" customWidth="1"/>
    <col min="6154" max="6154" width="10.42578125" style="262" customWidth="1"/>
    <col min="6155" max="6155" width="7.85546875" style="262" customWidth="1"/>
    <col min="6156" max="6156" width="8.85546875" style="262" customWidth="1"/>
    <col min="6157" max="6157" width="8.42578125" style="262" customWidth="1"/>
    <col min="6158" max="6158" width="4.42578125" style="262" customWidth="1"/>
    <col min="6159" max="6160" width="4.140625" style="262" customWidth="1"/>
    <col min="6161" max="6161" width="6.85546875" style="262" customWidth="1"/>
    <col min="6162" max="6162" width="4.140625" style="262" customWidth="1"/>
    <col min="6163" max="6168" width="4.42578125" style="262" customWidth="1"/>
    <col min="6169" max="6169" width="7" style="262" customWidth="1"/>
    <col min="6170" max="6170" width="0" style="262" hidden="1" customWidth="1"/>
    <col min="6171" max="6174" width="3.5703125" style="262" customWidth="1"/>
    <col min="6175" max="6176" width="3.5703125" style="262"/>
    <col min="6177" max="6178" width="0" style="262" hidden="1" customWidth="1"/>
    <col min="6179" max="6185" width="3.5703125" style="262"/>
    <col min="6186" max="6186" width="5.5703125" style="262" bestFit="1" customWidth="1"/>
    <col min="6187" max="6188" width="3.5703125" style="262"/>
    <col min="6189" max="6189" width="6.5703125" style="262" bestFit="1" customWidth="1"/>
    <col min="6190" max="6190" width="3.5703125" style="262"/>
    <col min="6191" max="6191" width="5.5703125" style="262" bestFit="1" customWidth="1"/>
    <col min="6192" max="6403" width="3.5703125" style="262"/>
    <col min="6404" max="6404" width="11.42578125" style="262" customWidth="1"/>
    <col min="6405" max="6405" width="1.85546875" style="262" customWidth="1"/>
    <col min="6406" max="6409" width="5.42578125" style="262" customWidth="1"/>
    <col min="6410" max="6410" width="10.42578125" style="262" customWidth="1"/>
    <col min="6411" max="6411" width="7.85546875" style="262" customWidth="1"/>
    <col min="6412" max="6412" width="8.85546875" style="262" customWidth="1"/>
    <col min="6413" max="6413" width="8.42578125" style="262" customWidth="1"/>
    <col min="6414" max="6414" width="4.42578125" style="262" customWidth="1"/>
    <col min="6415" max="6416" width="4.140625" style="262" customWidth="1"/>
    <col min="6417" max="6417" width="6.85546875" style="262" customWidth="1"/>
    <col min="6418" max="6418" width="4.140625" style="262" customWidth="1"/>
    <col min="6419" max="6424" width="4.42578125" style="262" customWidth="1"/>
    <col min="6425" max="6425" width="7" style="262" customWidth="1"/>
    <col min="6426" max="6426" width="0" style="262" hidden="1" customWidth="1"/>
    <col min="6427" max="6430" width="3.5703125" style="262" customWidth="1"/>
    <col min="6431" max="6432" width="3.5703125" style="262"/>
    <col min="6433" max="6434" width="0" style="262" hidden="1" customWidth="1"/>
    <col min="6435" max="6441" width="3.5703125" style="262"/>
    <col min="6442" max="6442" width="5.5703125" style="262" bestFit="1" customWidth="1"/>
    <col min="6443" max="6444" width="3.5703125" style="262"/>
    <col min="6445" max="6445" width="6.5703125" style="262" bestFit="1" customWidth="1"/>
    <col min="6446" max="6446" width="3.5703125" style="262"/>
    <col min="6447" max="6447" width="5.5703125" style="262" bestFit="1" customWidth="1"/>
    <col min="6448" max="6659" width="3.5703125" style="262"/>
    <col min="6660" max="6660" width="11.42578125" style="262" customWidth="1"/>
    <col min="6661" max="6661" width="1.85546875" style="262" customWidth="1"/>
    <col min="6662" max="6665" width="5.42578125" style="262" customWidth="1"/>
    <col min="6666" max="6666" width="10.42578125" style="262" customWidth="1"/>
    <col min="6667" max="6667" width="7.85546875" style="262" customWidth="1"/>
    <col min="6668" max="6668" width="8.85546875" style="262" customWidth="1"/>
    <col min="6669" max="6669" width="8.42578125" style="262" customWidth="1"/>
    <col min="6670" max="6670" width="4.42578125" style="262" customWidth="1"/>
    <col min="6671" max="6672" width="4.140625" style="262" customWidth="1"/>
    <col min="6673" max="6673" width="6.85546875" style="262" customWidth="1"/>
    <col min="6674" max="6674" width="4.140625" style="262" customWidth="1"/>
    <col min="6675" max="6680" width="4.42578125" style="262" customWidth="1"/>
    <col min="6681" max="6681" width="7" style="262" customWidth="1"/>
    <col min="6682" max="6682" width="0" style="262" hidden="1" customWidth="1"/>
    <col min="6683" max="6686" width="3.5703125" style="262" customWidth="1"/>
    <col min="6687" max="6688" width="3.5703125" style="262"/>
    <col min="6689" max="6690" width="0" style="262" hidden="1" customWidth="1"/>
    <col min="6691" max="6697" width="3.5703125" style="262"/>
    <col min="6698" max="6698" width="5.5703125" style="262" bestFit="1" customWidth="1"/>
    <col min="6699" max="6700" width="3.5703125" style="262"/>
    <col min="6701" max="6701" width="6.5703125" style="262" bestFit="1" customWidth="1"/>
    <col min="6702" max="6702" width="3.5703125" style="262"/>
    <col min="6703" max="6703" width="5.5703125" style="262" bestFit="1" customWidth="1"/>
    <col min="6704" max="6915" width="3.5703125" style="262"/>
    <col min="6916" max="6916" width="11.42578125" style="262" customWidth="1"/>
    <col min="6917" max="6917" width="1.85546875" style="262" customWidth="1"/>
    <col min="6918" max="6921" width="5.42578125" style="262" customWidth="1"/>
    <col min="6922" max="6922" width="10.42578125" style="262" customWidth="1"/>
    <col min="6923" max="6923" width="7.85546875" style="262" customWidth="1"/>
    <col min="6924" max="6924" width="8.85546875" style="262" customWidth="1"/>
    <col min="6925" max="6925" width="8.42578125" style="262" customWidth="1"/>
    <col min="6926" max="6926" width="4.42578125" style="262" customWidth="1"/>
    <col min="6927" max="6928" width="4.140625" style="262" customWidth="1"/>
    <col min="6929" max="6929" width="6.85546875" style="262" customWidth="1"/>
    <col min="6930" max="6930" width="4.140625" style="262" customWidth="1"/>
    <col min="6931" max="6936" width="4.42578125" style="262" customWidth="1"/>
    <col min="6937" max="6937" width="7" style="262" customWidth="1"/>
    <col min="6938" max="6938" width="0" style="262" hidden="1" customWidth="1"/>
    <col min="6939" max="6942" width="3.5703125" style="262" customWidth="1"/>
    <col min="6943" max="6944" width="3.5703125" style="262"/>
    <col min="6945" max="6946" width="0" style="262" hidden="1" customWidth="1"/>
    <col min="6947" max="6953" width="3.5703125" style="262"/>
    <col min="6954" max="6954" width="5.5703125" style="262" bestFit="1" customWidth="1"/>
    <col min="6955" max="6956" width="3.5703125" style="262"/>
    <col min="6957" max="6957" width="6.5703125" style="262" bestFit="1" customWidth="1"/>
    <col min="6958" max="6958" width="3.5703125" style="262"/>
    <col min="6959" max="6959" width="5.5703125" style="262" bestFit="1" customWidth="1"/>
    <col min="6960" max="7171" width="3.5703125" style="262"/>
    <col min="7172" max="7172" width="11.42578125" style="262" customWidth="1"/>
    <col min="7173" max="7173" width="1.85546875" style="262" customWidth="1"/>
    <col min="7174" max="7177" width="5.42578125" style="262" customWidth="1"/>
    <col min="7178" max="7178" width="10.42578125" style="262" customWidth="1"/>
    <col min="7179" max="7179" width="7.85546875" style="262" customWidth="1"/>
    <col min="7180" max="7180" width="8.85546875" style="262" customWidth="1"/>
    <col min="7181" max="7181" width="8.42578125" style="262" customWidth="1"/>
    <col min="7182" max="7182" width="4.42578125" style="262" customWidth="1"/>
    <col min="7183" max="7184" width="4.140625" style="262" customWidth="1"/>
    <col min="7185" max="7185" width="6.85546875" style="262" customWidth="1"/>
    <col min="7186" max="7186" width="4.140625" style="262" customWidth="1"/>
    <col min="7187" max="7192" width="4.42578125" style="262" customWidth="1"/>
    <col min="7193" max="7193" width="7" style="262" customWidth="1"/>
    <col min="7194" max="7194" width="0" style="262" hidden="1" customWidth="1"/>
    <col min="7195" max="7198" width="3.5703125" style="262" customWidth="1"/>
    <col min="7199" max="7200" width="3.5703125" style="262"/>
    <col min="7201" max="7202" width="0" style="262" hidden="1" customWidth="1"/>
    <col min="7203" max="7209" width="3.5703125" style="262"/>
    <col min="7210" max="7210" width="5.5703125" style="262" bestFit="1" customWidth="1"/>
    <col min="7211" max="7212" width="3.5703125" style="262"/>
    <col min="7213" max="7213" width="6.5703125" style="262" bestFit="1" customWidth="1"/>
    <col min="7214" max="7214" width="3.5703125" style="262"/>
    <col min="7215" max="7215" width="5.5703125" style="262" bestFit="1" customWidth="1"/>
    <col min="7216" max="7427" width="3.5703125" style="262"/>
    <col min="7428" max="7428" width="11.42578125" style="262" customWidth="1"/>
    <col min="7429" max="7429" width="1.85546875" style="262" customWidth="1"/>
    <col min="7430" max="7433" width="5.42578125" style="262" customWidth="1"/>
    <col min="7434" max="7434" width="10.42578125" style="262" customWidth="1"/>
    <col min="7435" max="7435" width="7.85546875" style="262" customWidth="1"/>
    <col min="7436" max="7436" width="8.85546875" style="262" customWidth="1"/>
    <col min="7437" max="7437" width="8.42578125" style="262" customWidth="1"/>
    <col min="7438" max="7438" width="4.42578125" style="262" customWidth="1"/>
    <col min="7439" max="7440" width="4.140625" style="262" customWidth="1"/>
    <col min="7441" max="7441" width="6.85546875" style="262" customWidth="1"/>
    <col min="7442" max="7442" width="4.140625" style="262" customWidth="1"/>
    <col min="7443" max="7448" width="4.42578125" style="262" customWidth="1"/>
    <col min="7449" max="7449" width="7" style="262" customWidth="1"/>
    <col min="7450" max="7450" width="0" style="262" hidden="1" customWidth="1"/>
    <col min="7451" max="7454" width="3.5703125" style="262" customWidth="1"/>
    <col min="7455" max="7456" width="3.5703125" style="262"/>
    <col min="7457" max="7458" width="0" style="262" hidden="1" customWidth="1"/>
    <col min="7459" max="7465" width="3.5703125" style="262"/>
    <col min="7466" max="7466" width="5.5703125" style="262" bestFit="1" customWidth="1"/>
    <col min="7467" max="7468" width="3.5703125" style="262"/>
    <col min="7469" max="7469" width="6.5703125" style="262" bestFit="1" customWidth="1"/>
    <col min="7470" max="7470" width="3.5703125" style="262"/>
    <col min="7471" max="7471" width="5.5703125" style="262" bestFit="1" customWidth="1"/>
    <col min="7472" max="7683" width="3.5703125" style="262"/>
    <col min="7684" max="7684" width="11.42578125" style="262" customWidth="1"/>
    <col min="7685" max="7685" width="1.85546875" style="262" customWidth="1"/>
    <col min="7686" max="7689" width="5.42578125" style="262" customWidth="1"/>
    <col min="7690" max="7690" width="10.42578125" style="262" customWidth="1"/>
    <col min="7691" max="7691" width="7.85546875" style="262" customWidth="1"/>
    <col min="7692" max="7692" width="8.85546875" style="262" customWidth="1"/>
    <col min="7693" max="7693" width="8.42578125" style="262" customWidth="1"/>
    <col min="7694" max="7694" width="4.42578125" style="262" customWidth="1"/>
    <col min="7695" max="7696" width="4.140625" style="262" customWidth="1"/>
    <col min="7697" max="7697" width="6.85546875" style="262" customWidth="1"/>
    <col min="7698" max="7698" width="4.140625" style="262" customWidth="1"/>
    <col min="7699" max="7704" width="4.42578125" style="262" customWidth="1"/>
    <col min="7705" max="7705" width="7" style="262" customWidth="1"/>
    <col min="7706" max="7706" width="0" style="262" hidden="1" customWidth="1"/>
    <col min="7707" max="7710" width="3.5703125" style="262" customWidth="1"/>
    <col min="7711" max="7712" width="3.5703125" style="262"/>
    <col min="7713" max="7714" width="0" style="262" hidden="1" customWidth="1"/>
    <col min="7715" max="7721" width="3.5703125" style="262"/>
    <col min="7722" max="7722" width="5.5703125" style="262" bestFit="1" customWidth="1"/>
    <col min="7723" max="7724" width="3.5703125" style="262"/>
    <col min="7725" max="7725" width="6.5703125" style="262" bestFit="1" customWidth="1"/>
    <col min="7726" max="7726" width="3.5703125" style="262"/>
    <col min="7727" max="7727" width="5.5703125" style="262" bestFit="1" customWidth="1"/>
    <col min="7728" max="7939" width="3.5703125" style="262"/>
    <col min="7940" max="7940" width="11.42578125" style="262" customWidth="1"/>
    <col min="7941" max="7941" width="1.85546875" style="262" customWidth="1"/>
    <col min="7942" max="7945" width="5.42578125" style="262" customWidth="1"/>
    <col min="7946" max="7946" width="10.42578125" style="262" customWidth="1"/>
    <col min="7947" max="7947" width="7.85546875" style="262" customWidth="1"/>
    <col min="7948" max="7948" width="8.85546875" style="262" customWidth="1"/>
    <col min="7949" max="7949" width="8.42578125" style="262" customWidth="1"/>
    <col min="7950" max="7950" width="4.42578125" style="262" customWidth="1"/>
    <col min="7951" max="7952" width="4.140625" style="262" customWidth="1"/>
    <col min="7953" max="7953" width="6.85546875" style="262" customWidth="1"/>
    <col min="7954" max="7954" width="4.140625" style="262" customWidth="1"/>
    <col min="7955" max="7960" width="4.42578125" style="262" customWidth="1"/>
    <col min="7961" max="7961" width="7" style="262" customWidth="1"/>
    <col min="7962" max="7962" width="0" style="262" hidden="1" customWidth="1"/>
    <col min="7963" max="7966" width="3.5703125" style="262" customWidth="1"/>
    <col min="7967" max="7968" width="3.5703125" style="262"/>
    <col min="7969" max="7970" width="0" style="262" hidden="1" customWidth="1"/>
    <col min="7971" max="7977" width="3.5703125" style="262"/>
    <col min="7978" max="7978" width="5.5703125" style="262" bestFit="1" customWidth="1"/>
    <col min="7979" max="7980" width="3.5703125" style="262"/>
    <col min="7981" max="7981" width="6.5703125" style="262" bestFit="1" customWidth="1"/>
    <col min="7982" max="7982" width="3.5703125" style="262"/>
    <col min="7983" max="7983" width="5.5703125" style="262" bestFit="1" customWidth="1"/>
    <col min="7984" max="8195" width="3.5703125" style="262"/>
    <col min="8196" max="8196" width="11.42578125" style="262" customWidth="1"/>
    <col min="8197" max="8197" width="1.85546875" style="262" customWidth="1"/>
    <col min="8198" max="8201" width="5.42578125" style="262" customWidth="1"/>
    <col min="8202" max="8202" width="10.42578125" style="262" customWidth="1"/>
    <col min="8203" max="8203" width="7.85546875" style="262" customWidth="1"/>
    <col min="8204" max="8204" width="8.85546875" style="262" customWidth="1"/>
    <col min="8205" max="8205" width="8.42578125" style="262" customWidth="1"/>
    <col min="8206" max="8206" width="4.42578125" style="262" customWidth="1"/>
    <col min="8207" max="8208" width="4.140625" style="262" customWidth="1"/>
    <col min="8209" max="8209" width="6.85546875" style="262" customWidth="1"/>
    <col min="8210" max="8210" width="4.140625" style="262" customWidth="1"/>
    <col min="8211" max="8216" width="4.42578125" style="262" customWidth="1"/>
    <col min="8217" max="8217" width="7" style="262" customWidth="1"/>
    <col min="8218" max="8218" width="0" style="262" hidden="1" customWidth="1"/>
    <col min="8219" max="8222" width="3.5703125" style="262" customWidth="1"/>
    <col min="8223" max="8224" width="3.5703125" style="262"/>
    <col min="8225" max="8226" width="0" style="262" hidden="1" customWidth="1"/>
    <col min="8227" max="8233" width="3.5703125" style="262"/>
    <col min="8234" max="8234" width="5.5703125" style="262" bestFit="1" customWidth="1"/>
    <col min="8235" max="8236" width="3.5703125" style="262"/>
    <col min="8237" max="8237" width="6.5703125" style="262" bestFit="1" customWidth="1"/>
    <col min="8238" max="8238" width="3.5703125" style="262"/>
    <col min="8239" max="8239" width="5.5703125" style="262" bestFit="1" customWidth="1"/>
    <col min="8240" max="8451" width="3.5703125" style="262"/>
    <col min="8452" max="8452" width="11.42578125" style="262" customWidth="1"/>
    <col min="8453" max="8453" width="1.85546875" style="262" customWidth="1"/>
    <col min="8454" max="8457" width="5.42578125" style="262" customWidth="1"/>
    <col min="8458" max="8458" width="10.42578125" style="262" customWidth="1"/>
    <col min="8459" max="8459" width="7.85546875" style="262" customWidth="1"/>
    <col min="8460" max="8460" width="8.85546875" style="262" customWidth="1"/>
    <col min="8461" max="8461" width="8.42578125" style="262" customWidth="1"/>
    <col min="8462" max="8462" width="4.42578125" style="262" customWidth="1"/>
    <col min="8463" max="8464" width="4.140625" style="262" customWidth="1"/>
    <col min="8465" max="8465" width="6.85546875" style="262" customWidth="1"/>
    <col min="8466" max="8466" width="4.140625" style="262" customWidth="1"/>
    <col min="8467" max="8472" width="4.42578125" style="262" customWidth="1"/>
    <col min="8473" max="8473" width="7" style="262" customWidth="1"/>
    <col min="8474" max="8474" width="0" style="262" hidden="1" customWidth="1"/>
    <col min="8475" max="8478" width="3.5703125" style="262" customWidth="1"/>
    <col min="8479" max="8480" width="3.5703125" style="262"/>
    <col min="8481" max="8482" width="0" style="262" hidden="1" customWidth="1"/>
    <col min="8483" max="8489" width="3.5703125" style="262"/>
    <col min="8490" max="8490" width="5.5703125" style="262" bestFit="1" customWidth="1"/>
    <col min="8491" max="8492" width="3.5703125" style="262"/>
    <col min="8493" max="8493" width="6.5703125" style="262" bestFit="1" customWidth="1"/>
    <col min="8494" max="8494" width="3.5703125" style="262"/>
    <col min="8495" max="8495" width="5.5703125" style="262" bestFit="1" customWidth="1"/>
    <col min="8496" max="8707" width="3.5703125" style="262"/>
    <col min="8708" max="8708" width="11.42578125" style="262" customWidth="1"/>
    <col min="8709" max="8709" width="1.85546875" style="262" customWidth="1"/>
    <col min="8710" max="8713" width="5.42578125" style="262" customWidth="1"/>
    <col min="8714" max="8714" width="10.42578125" style="262" customWidth="1"/>
    <col min="8715" max="8715" width="7.85546875" style="262" customWidth="1"/>
    <col min="8716" max="8716" width="8.85546875" style="262" customWidth="1"/>
    <col min="8717" max="8717" width="8.42578125" style="262" customWidth="1"/>
    <col min="8718" max="8718" width="4.42578125" style="262" customWidth="1"/>
    <col min="8719" max="8720" width="4.140625" style="262" customWidth="1"/>
    <col min="8721" max="8721" width="6.85546875" style="262" customWidth="1"/>
    <col min="8722" max="8722" width="4.140625" style="262" customWidth="1"/>
    <col min="8723" max="8728" width="4.42578125" style="262" customWidth="1"/>
    <col min="8729" max="8729" width="7" style="262" customWidth="1"/>
    <col min="8730" max="8730" width="0" style="262" hidden="1" customWidth="1"/>
    <col min="8731" max="8734" width="3.5703125" style="262" customWidth="1"/>
    <col min="8735" max="8736" width="3.5703125" style="262"/>
    <col min="8737" max="8738" width="0" style="262" hidden="1" customWidth="1"/>
    <col min="8739" max="8745" width="3.5703125" style="262"/>
    <col min="8746" max="8746" width="5.5703125" style="262" bestFit="1" customWidth="1"/>
    <col min="8747" max="8748" width="3.5703125" style="262"/>
    <col min="8749" max="8749" width="6.5703125" style="262" bestFit="1" customWidth="1"/>
    <col min="8750" max="8750" width="3.5703125" style="262"/>
    <col min="8751" max="8751" width="5.5703125" style="262" bestFit="1" customWidth="1"/>
    <col min="8752" max="8963" width="3.5703125" style="262"/>
    <col min="8964" max="8964" width="11.42578125" style="262" customWidth="1"/>
    <col min="8965" max="8965" width="1.85546875" style="262" customWidth="1"/>
    <col min="8966" max="8969" width="5.42578125" style="262" customWidth="1"/>
    <col min="8970" max="8970" width="10.42578125" style="262" customWidth="1"/>
    <col min="8971" max="8971" width="7.85546875" style="262" customWidth="1"/>
    <col min="8972" max="8972" width="8.85546875" style="262" customWidth="1"/>
    <col min="8973" max="8973" width="8.42578125" style="262" customWidth="1"/>
    <col min="8974" max="8974" width="4.42578125" style="262" customWidth="1"/>
    <col min="8975" max="8976" width="4.140625" style="262" customWidth="1"/>
    <col min="8977" max="8977" width="6.85546875" style="262" customWidth="1"/>
    <col min="8978" max="8978" width="4.140625" style="262" customWidth="1"/>
    <col min="8979" max="8984" width="4.42578125" style="262" customWidth="1"/>
    <col min="8985" max="8985" width="7" style="262" customWidth="1"/>
    <col min="8986" max="8986" width="0" style="262" hidden="1" customWidth="1"/>
    <col min="8987" max="8990" width="3.5703125" style="262" customWidth="1"/>
    <col min="8991" max="8992" width="3.5703125" style="262"/>
    <col min="8993" max="8994" width="0" style="262" hidden="1" customWidth="1"/>
    <col min="8995" max="9001" width="3.5703125" style="262"/>
    <col min="9002" max="9002" width="5.5703125" style="262" bestFit="1" customWidth="1"/>
    <col min="9003" max="9004" width="3.5703125" style="262"/>
    <col min="9005" max="9005" width="6.5703125" style="262" bestFit="1" customWidth="1"/>
    <col min="9006" max="9006" width="3.5703125" style="262"/>
    <col min="9007" max="9007" width="5.5703125" style="262" bestFit="1" customWidth="1"/>
    <col min="9008" max="9219" width="3.5703125" style="262"/>
    <col min="9220" max="9220" width="11.42578125" style="262" customWidth="1"/>
    <col min="9221" max="9221" width="1.85546875" style="262" customWidth="1"/>
    <col min="9222" max="9225" width="5.42578125" style="262" customWidth="1"/>
    <col min="9226" max="9226" width="10.42578125" style="262" customWidth="1"/>
    <col min="9227" max="9227" width="7.85546875" style="262" customWidth="1"/>
    <col min="9228" max="9228" width="8.85546875" style="262" customWidth="1"/>
    <col min="9229" max="9229" width="8.42578125" style="262" customWidth="1"/>
    <col min="9230" max="9230" width="4.42578125" style="262" customWidth="1"/>
    <col min="9231" max="9232" width="4.140625" style="262" customWidth="1"/>
    <col min="9233" max="9233" width="6.85546875" style="262" customWidth="1"/>
    <col min="9234" max="9234" width="4.140625" style="262" customWidth="1"/>
    <col min="9235" max="9240" width="4.42578125" style="262" customWidth="1"/>
    <col min="9241" max="9241" width="7" style="262" customWidth="1"/>
    <col min="9242" max="9242" width="0" style="262" hidden="1" customWidth="1"/>
    <col min="9243" max="9246" width="3.5703125" style="262" customWidth="1"/>
    <col min="9247" max="9248" width="3.5703125" style="262"/>
    <col min="9249" max="9250" width="0" style="262" hidden="1" customWidth="1"/>
    <col min="9251" max="9257" width="3.5703125" style="262"/>
    <col min="9258" max="9258" width="5.5703125" style="262" bestFit="1" customWidth="1"/>
    <col min="9259" max="9260" width="3.5703125" style="262"/>
    <col min="9261" max="9261" width="6.5703125" style="262" bestFit="1" customWidth="1"/>
    <col min="9262" max="9262" width="3.5703125" style="262"/>
    <col min="9263" max="9263" width="5.5703125" style="262" bestFit="1" customWidth="1"/>
    <col min="9264" max="9475" width="3.5703125" style="262"/>
    <col min="9476" max="9476" width="11.42578125" style="262" customWidth="1"/>
    <col min="9477" max="9477" width="1.85546875" style="262" customWidth="1"/>
    <col min="9478" max="9481" width="5.42578125" style="262" customWidth="1"/>
    <col min="9482" max="9482" width="10.42578125" style="262" customWidth="1"/>
    <col min="9483" max="9483" width="7.85546875" style="262" customWidth="1"/>
    <col min="9484" max="9484" width="8.85546875" style="262" customWidth="1"/>
    <col min="9485" max="9485" width="8.42578125" style="262" customWidth="1"/>
    <col min="9486" max="9486" width="4.42578125" style="262" customWidth="1"/>
    <col min="9487" max="9488" width="4.140625" style="262" customWidth="1"/>
    <col min="9489" max="9489" width="6.85546875" style="262" customWidth="1"/>
    <col min="9490" max="9490" width="4.140625" style="262" customWidth="1"/>
    <col min="9491" max="9496" width="4.42578125" style="262" customWidth="1"/>
    <col min="9497" max="9497" width="7" style="262" customWidth="1"/>
    <col min="9498" max="9498" width="0" style="262" hidden="1" customWidth="1"/>
    <col min="9499" max="9502" width="3.5703125" style="262" customWidth="1"/>
    <col min="9503" max="9504" width="3.5703125" style="262"/>
    <col min="9505" max="9506" width="0" style="262" hidden="1" customWidth="1"/>
    <col min="9507" max="9513" width="3.5703125" style="262"/>
    <col min="9514" max="9514" width="5.5703125" style="262" bestFit="1" customWidth="1"/>
    <col min="9515" max="9516" width="3.5703125" style="262"/>
    <col min="9517" max="9517" width="6.5703125" style="262" bestFit="1" customWidth="1"/>
    <col min="9518" max="9518" width="3.5703125" style="262"/>
    <col min="9519" max="9519" width="5.5703125" style="262" bestFit="1" customWidth="1"/>
    <col min="9520" max="9731" width="3.5703125" style="262"/>
    <col min="9732" max="9732" width="11.42578125" style="262" customWidth="1"/>
    <col min="9733" max="9733" width="1.85546875" style="262" customWidth="1"/>
    <col min="9734" max="9737" width="5.42578125" style="262" customWidth="1"/>
    <col min="9738" max="9738" width="10.42578125" style="262" customWidth="1"/>
    <col min="9739" max="9739" width="7.85546875" style="262" customWidth="1"/>
    <col min="9740" max="9740" width="8.85546875" style="262" customWidth="1"/>
    <col min="9741" max="9741" width="8.42578125" style="262" customWidth="1"/>
    <col min="9742" max="9742" width="4.42578125" style="262" customWidth="1"/>
    <col min="9743" max="9744" width="4.140625" style="262" customWidth="1"/>
    <col min="9745" max="9745" width="6.85546875" style="262" customWidth="1"/>
    <col min="9746" max="9746" width="4.140625" style="262" customWidth="1"/>
    <col min="9747" max="9752" width="4.42578125" style="262" customWidth="1"/>
    <col min="9753" max="9753" width="7" style="262" customWidth="1"/>
    <col min="9754" max="9754" width="0" style="262" hidden="1" customWidth="1"/>
    <col min="9755" max="9758" width="3.5703125" style="262" customWidth="1"/>
    <col min="9759" max="9760" width="3.5703125" style="262"/>
    <col min="9761" max="9762" width="0" style="262" hidden="1" customWidth="1"/>
    <col min="9763" max="9769" width="3.5703125" style="262"/>
    <col min="9770" max="9770" width="5.5703125" style="262" bestFit="1" customWidth="1"/>
    <col min="9771" max="9772" width="3.5703125" style="262"/>
    <col min="9773" max="9773" width="6.5703125" style="262" bestFit="1" customWidth="1"/>
    <col min="9774" max="9774" width="3.5703125" style="262"/>
    <col min="9775" max="9775" width="5.5703125" style="262" bestFit="1" customWidth="1"/>
    <col min="9776" max="9987" width="3.5703125" style="262"/>
    <col min="9988" max="9988" width="11.42578125" style="262" customWidth="1"/>
    <col min="9989" max="9989" width="1.85546875" style="262" customWidth="1"/>
    <col min="9990" max="9993" width="5.42578125" style="262" customWidth="1"/>
    <col min="9994" max="9994" width="10.42578125" style="262" customWidth="1"/>
    <col min="9995" max="9995" width="7.85546875" style="262" customWidth="1"/>
    <col min="9996" max="9996" width="8.85546875" style="262" customWidth="1"/>
    <col min="9997" max="9997" width="8.42578125" style="262" customWidth="1"/>
    <col min="9998" max="9998" width="4.42578125" style="262" customWidth="1"/>
    <col min="9999" max="10000" width="4.140625" style="262" customWidth="1"/>
    <col min="10001" max="10001" width="6.85546875" style="262" customWidth="1"/>
    <col min="10002" max="10002" width="4.140625" style="262" customWidth="1"/>
    <col min="10003" max="10008" width="4.42578125" style="262" customWidth="1"/>
    <col min="10009" max="10009" width="7" style="262" customWidth="1"/>
    <col min="10010" max="10010" width="0" style="262" hidden="1" customWidth="1"/>
    <col min="10011" max="10014" width="3.5703125" style="262" customWidth="1"/>
    <col min="10015" max="10016" width="3.5703125" style="262"/>
    <col min="10017" max="10018" width="0" style="262" hidden="1" customWidth="1"/>
    <col min="10019" max="10025" width="3.5703125" style="262"/>
    <col min="10026" max="10026" width="5.5703125" style="262" bestFit="1" customWidth="1"/>
    <col min="10027" max="10028" width="3.5703125" style="262"/>
    <col min="10029" max="10029" width="6.5703125" style="262" bestFit="1" customWidth="1"/>
    <col min="10030" max="10030" width="3.5703125" style="262"/>
    <col min="10031" max="10031" width="5.5703125" style="262" bestFit="1" customWidth="1"/>
    <col min="10032" max="10243" width="3.5703125" style="262"/>
    <col min="10244" max="10244" width="11.42578125" style="262" customWidth="1"/>
    <col min="10245" max="10245" width="1.85546875" style="262" customWidth="1"/>
    <col min="10246" max="10249" width="5.42578125" style="262" customWidth="1"/>
    <col min="10250" max="10250" width="10.42578125" style="262" customWidth="1"/>
    <col min="10251" max="10251" width="7.85546875" style="262" customWidth="1"/>
    <col min="10252" max="10252" width="8.85546875" style="262" customWidth="1"/>
    <col min="10253" max="10253" width="8.42578125" style="262" customWidth="1"/>
    <col min="10254" max="10254" width="4.42578125" style="262" customWidth="1"/>
    <col min="10255" max="10256" width="4.140625" style="262" customWidth="1"/>
    <col min="10257" max="10257" width="6.85546875" style="262" customWidth="1"/>
    <col min="10258" max="10258" width="4.140625" style="262" customWidth="1"/>
    <col min="10259" max="10264" width="4.42578125" style="262" customWidth="1"/>
    <col min="10265" max="10265" width="7" style="262" customWidth="1"/>
    <col min="10266" max="10266" width="0" style="262" hidden="1" customWidth="1"/>
    <col min="10267" max="10270" width="3.5703125" style="262" customWidth="1"/>
    <col min="10271" max="10272" width="3.5703125" style="262"/>
    <col min="10273" max="10274" width="0" style="262" hidden="1" customWidth="1"/>
    <col min="10275" max="10281" width="3.5703125" style="262"/>
    <col min="10282" max="10282" width="5.5703125" style="262" bestFit="1" customWidth="1"/>
    <col min="10283" max="10284" width="3.5703125" style="262"/>
    <col min="10285" max="10285" width="6.5703125" style="262" bestFit="1" customWidth="1"/>
    <col min="10286" max="10286" width="3.5703125" style="262"/>
    <col min="10287" max="10287" width="5.5703125" style="262" bestFit="1" customWidth="1"/>
    <col min="10288" max="10499" width="3.5703125" style="262"/>
    <col min="10500" max="10500" width="11.42578125" style="262" customWidth="1"/>
    <col min="10501" max="10501" width="1.85546875" style="262" customWidth="1"/>
    <col min="10502" max="10505" width="5.42578125" style="262" customWidth="1"/>
    <col min="10506" max="10506" width="10.42578125" style="262" customWidth="1"/>
    <col min="10507" max="10507" width="7.85546875" style="262" customWidth="1"/>
    <col min="10508" max="10508" width="8.85546875" style="262" customWidth="1"/>
    <col min="10509" max="10509" width="8.42578125" style="262" customWidth="1"/>
    <col min="10510" max="10510" width="4.42578125" style="262" customWidth="1"/>
    <col min="10511" max="10512" width="4.140625" style="262" customWidth="1"/>
    <col min="10513" max="10513" width="6.85546875" style="262" customWidth="1"/>
    <col min="10514" max="10514" width="4.140625" style="262" customWidth="1"/>
    <col min="10515" max="10520" width="4.42578125" style="262" customWidth="1"/>
    <col min="10521" max="10521" width="7" style="262" customWidth="1"/>
    <col min="10522" max="10522" width="0" style="262" hidden="1" customWidth="1"/>
    <col min="10523" max="10526" width="3.5703125" style="262" customWidth="1"/>
    <col min="10527" max="10528" width="3.5703125" style="262"/>
    <col min="10529" max="10530" width="0" style="262" hidden="1" customWidth="1"/>
    <col min="10531" max="10537" width="3.5703125" style="262"/>
    <col min="10538" max="10538" width="5.5703125" style="262" bestFit="1" customWidth="1"/>
    <col min="10539" max="10540" width="3.5703125" style="262"/>
    <col min="10541" max="10541" width="6.5703125" style="262" bestFit="1" customWidth="1"/>
    <col min="10542" max="10542" width="3.5703125" style="262"/>
    <col min="10543" max="10543" width="5.5703125" style="262" bestFit="1" customWidth="1"/>
    <col min="10544" max="10755" width="3.5703125" style="262"/>
    <col min="10756" max="10756" width="11.42578125" style="262" customWidth="1"/>
    <col min="10757" max="10757" width="1.85546875" style="262" customWidth="1"/>
    <col min="10758" max="10761" width="5.42578125" style="262" customWidth="1"/>
    <col min="10762" max="10762" width="10.42578125" style="262" customWidth="1"/>
    <col min="10763" max="10763" width="7.85546875" style="262" customWidth="1"/>
    <col min="10764" max="10764" width="8.85546875" style="262" customWidth="1"/>
    <col min="10765" max="10765" width="8.42578125" style="262" customWidth="1"/>
    <col min="10766" max="10766" width="4.42578125" style="262" customWidth="1"/>
    <col min="10767" max="10768" width="4.140625" style="262" customWidth="1"/>
    <col min="10769" max="10769" width="6.85546875" style="262" customWidth="1"/>
    <col min="10770" max="10770" width="4.140625" style="262" customWidth="1"/>
    <col min="10771" max="10776" width="4.42578125" style="262" customWidth="1"/>
    <col min="10777" max="10777" width="7" style="262" customWidth="1"/>
    <col min="10778" max="10778" width="0" style="262" hidden="1" customWidth="1"/>
    <col min="10779" max="10782" width="3.5703125" style="262" customWidth="1"/>
    <col min="10783" max="10784" width="3.5703125" style="262"/>
    <col min="10785" max="10786" width="0" style="262" hidden="1" customWidth="1"/>
    <col min="10787" max="10793" width="3.5703125" style="262"/>
    <col min="10794" max="10794" width="5.5703125" style="262" bestFit="1" customWidth="1"/>
    <col min="10795" max="10796" width="3.5703125" style="262"/>
    <col min="10797" max="10797" width="6.5703125" style="262" bestFit="1" customWidth="1"/>
    <col min="10798" max="10798" width="3.5703125" style="262"/>
    <col min="10799" max="10799" width="5.5703125" style="262" bestFit="1" customWidth="1"/>
    <col min="10800" max="11011" width="3.5703125" style="262"/>
    <col min="11012" max="11012" width="11.42578125" style="262" customWidth="1"/>
    <col min="11013" max="11013" width="1.85546875" style="262" customWidth="1"/>
    <col min="11014" max="11017" width="5.42578125" style="262" customWidth="1"/>
    <col min="11018" max="11018" width="10.42578125" style="262" customWidth="1"/>
    <col min="11019" max="11019" width="7.85546875" style="262" customWidth="1"/>
    <col min="11020" max="11020" width="8.85546875" style="262" customWidth="1"/>
    <col min="11021" max="11021" width="8.42578125" style="262" customWidth="1"/>
    <col min="11022" max="11022" width="4.42578125" style="262" customWidth="1"/>
    <col min="11023" max="11024" width="4.140625" style="262" customWidth="1"/>
    <col min="11025" max="11025" width="6.85546875" style="262" customWidth="1"/>
    <col min="11026" max="11026" width="4.140625" style="262" customWidth="1"/>
    <col min="11027" max="11032" width="4.42578125" style="262" customWidth="1"/>
    <col min="11033" max="11033" width="7" style="262" customWidth="1"/>
    <col min="11034" max="11034" width="0" style="262" hidden="1" customWidth="1"/>
    <col min="11035" max="11038" width="3.5703125" style="262" customWidth="1"/>
    <col min="11039" max="11040" width="3.5703125" style="262"/>
    <col min="11041" max="11042" width="0" style="262" hidden="1" customWidth="1"/>
    <col min="11043" max="11049" width="3.5703125" style="262"/>
    <col min="11050" max="11050" width="5.5703125" style="262" bestFit="1" customWidth="1"/>
    <col min="11051" max="11052" width="3.5703125" style="262"/>
    <col min="11053" max="11053" width="6.5703125" style="262" bestFit="1" customWidth="1"/>
    <col min="11054" max="11054" width="3.5703125" style="262"/>
    <col min="11055" max="11055" width="5.5703125" style="262" bestFit="1" customWidth="1"/>
    <col min="11056" max="11267" width="3.5703125" style="262"/>
    <col min="11268" max="11268" width="11.42578125" style="262" customWidth="1"/>
    <col min="11269" max="11269" width="1.85546875" style="262" customWidth="1"/>
    <col min="11270" max="11273" width="5.42578125" style="262" customWidth="1"/>
    <col min="11274" max="11274" width="10.42578125" style="262" customWidth="1"/>
    <col min="11275" max="11275" width="7.85546875" style="262" customWidth="1"/>
    <col min="11276" max="11276" width="8.85546875" style="262" customWidth="1"/>
    <col min="11277" max="11277" width="8.42578125" style="262" customWidth="1"/>
    <col min="11278" max="11278" width="4.42578125" style="262" customWidth="1"/>
    <col min="11279" max="11280" width="4.140625" style="262" customWidth="1"/>
    <col min="11281" max="11281" width="6.85546875" style="262" customWidth="1"/>
    <col min="11282" max="11282" width="4.140625" style="262" customWidth="1"/>
    <col min="11283" max="11288" width="4.42578125" style="262" customWidth="1"/>
    <col min="11289" max="11289" width="7" style="262" customWidth="1"/>
    <col min="11290" max="11290" width="0" style="262" hidden="1" customWidth="1"/>
    <col min="11291" max="11294" width="3.5703125" style="262" customWidth="1"/>
    <col min="11295" max="11296" width="3.5703125" style="262"/>
    <col min="11297" max="11298" width="0" style="262" hidden="1" customWidth="1"/>
    <col min="11299" max="11305" width="3.5703125" style="262"/>
    <col min="11306" max="11306" width="5.5703125" style="262" bestFit="1" customWidth="1"/>
    <col min="11307" max="11308" width="3.5703125" style="262"/>
    <col min="11309" max="11309" width="6.5703125" style="262" bestFit="1" customWidth="1"/>
    <col min="11310" max="11310" width="3.5703125" style="262"/>
    <col min="11311" max="11311" width="5.5703125" style="262" bestFit="1" customWidth="1"/>
    <col min="11312" max="11523" width="3.5703125" style="262"/>
    <col min="11524" max="11524" width="11.42578125" style="262" customWidth="1"/>
    <col min="11525" max="11525" width="1.85546875" style="262" customWidth="1"/>
    <col min="11526" max="11529" width="5.42578125" style="262" customWidth="1"/>
    <col min="11530" max="11530" width="10.42578125" style="262" customWidth="1"/>
    <col min="11531" max="11531" width="7.85546875" style="262" customWidth="1"/>
    <col min="11532" max="11532" width="8.85546875" style="262" customWidth="1"/>
    <col min="11533" max="11533" width="8.42578125" style="262" customWidth="1"/>
    <col min="11534" max="11534" width="4.42578125" style="262" customWidth="1"/>
    <col min="11535" max="11536" width="4.140625" style="262" customWidth="1"/>
    <col min="11537" max="11537" width="6.85546875" style="262" customWidth="1"/>
    <col min="11538" max="11538" width="4.140625" style="262" customWidth="1"/>
    <col min="11539" max="11544" width="4.42578125" style="262" customWidth="1"/>
    <col min="11545" max="11545" width="7" style="262" customWidth="1"/>
    <col min="11546" max="11546" width="0" style="262" hidden="1" customWidth="1"/>
    <col min="11547" max="11550" width="3.5703125" style="262" customWidth="1"/>
    <col min="11551" max="11552" width="3.5703125" style="262"/>
    <col min="11553" max="11554" width="0" style="262" hidden="1" customWidth="1"/>
    <col min="11555" max="11561" width="3.5703125" style="262"/>
    <col min="11562" max="11562" width="5.5703125" style="262" bestFit="1" customWidth="1"/>
    <col min="11563" max="11564" width="3.5703125" style="262"/>
    <col min="11565" max="11565" width="6.5703125" style="262" bestFit="1" customWidth="1"/>
    <col min="11566" max="11566" width="3.5703125" style="262"/>
    <col min="11567" max="11567" width="5.5703125" style="262" bestFit="1" customWidth="1"/>
    <col min="11568" max="11779" width="3.5703125" style="262"/>
    <col min="11780" max="11780" width="11.42578125" style="262" customWidth="1"/>
    <col min="11781" max="11781" width="1.85546875" style="262" customWidth="1"/>
    <col min="11782" max="11785" width="5.42578125" style="262" customWidth="1"/>
    <col min="11786" max="11786" width="10.42578125" style="262" customWidth="1"/>
    <col min="11787" max="11787" width="7.85546875" style="262" customWidth="1"/>
    <col min="11788" max="11788" width="8.85546875" style="262" customWidth="1"/>
    <col min="11789" max="11789" width="8.42578125" style="262" customWidth="1"/>
    <col min="11790" max="11790" width="4.42578125" style="262" customWidth="1"/>
    <col min="11791" max="11792" width="4.140625" style="262" customWidth="1"/>
    <col min="11793" max="11793" width="6.85546875" style="262" customWidth="1"/>
    <col min="11794" max="11794" width="4.140625" style="262" customWidth="1"/>
    <col min="11795" max="11800" width="4.42578125" style="262" customWidth="1"/>
    <col min="11801" max="11801" width="7" style="262" customWidth="1"/>
    <col min="11802" max="11802" width="0" style="262" hidden="1" customWidth="1"/>
    <col min="11803" max="11806" width="3.5703125" style="262" customWidth="1"/>
    <col min="11807" max="11808" width="3.5703125" style="262"/>
    <col min="11809" max="11810" width="0" style="262" hidden="1" customWidth="1"/>
    <col min="11811" max="11817" width="3.5703125" style="262"/>
    <col min="11818" max="11818" width="5.5703125" style="262" bestFit="1" customWidth="1"/>
    <col min="11819" max="11820" width="3.5703125" style="262"/>
    <col min="11821" max="11821" width="6.5703125" style="262" bestFit="1" customWidth="1"/>
    <col min="11822" max="11822" width="3.5703125" style="262"/>
    <col min="11823" max="11823" width="5.5703125" style="262" bestFit="1" customWidth="1"/>
    <col min="11824" max="12035" width="3.5703125" style="262"/>
    <col min="12036" max="12036" width="11.42578125" style="262" customWidth="1"/>
    <col min="12037" max="12037" width="1.85546875" style="262" customWidth="1"/>
    <col min="12038" max="12041" width="5.42578125" style="262" customWidth="1"/>
    <col min="12042" max="12042" width="10.42578125" style="262" customWidth="1"/>
    <col min="12043" max="12043" width="7.85546875" style="262" customWidth="1"/>
    <col min="12044" max="12044" width="8.85546875" style="262" customWidth="1"/>
    <col min="12045" max="12045" width="8.42578125" style="262" customWidth="1"/>
    <col min="12046" max="12046" width="4.42578125" style="262" customWidth="1"/>
    <col min="12047" max="12048" width="4.140625" style="262" customWidth="1"/>
    <col min="12049" max="12049" width="6.85546875" style="262" customWidth="1"/>
    <col min="12050" max="12050" width="4.140625" style="262" customWidth="1"/>
    <col min="12051" max="12056" width="4.42578125" style="262" customWidth="1"/>
    <col min="12057" max="12057" width="7" style="262" customWidth="1"/>
    <col min="12058" max="12058" width="0" style="262" hidden="1" customWidth="1"/>
    <col min="12059" max="12062" width="3.5703125" style="262" customWidth="1"/>
    <col min="12063" max="12064" width="3.5703125" style="262"/>
    <col min="12065" max="12066" width="0" style="262" hidden="1" customWidth="1"/>
    <col min="12067" max="12073" width="3.5703125" style="262"/>
    <col min="12074" max="12074" width="5.5703125" style="262" bestFit="1" customWidth="1"/>
    <col min="12075" max="12076" width="3.5703125" style="262"/>
    <col min="12077" max="12077" width="6.5703125" style="262" bestFit="1" customWidth="1"/>
    <col min="12078" max="12078" width="3.5703125" style="262"/>
    <col min="12079" max="12079" width="5.5703125" style="262" bestFit="1" customWidth="1"/>
    <col min="12080" max="12291" width="3.5703125" style="262"/>
    <col min="12292" max="12292" width="11.42578125" style="262" customWidth="1"/>
    <col min="12293" max="12293" width="1.85546875" style="262" customWidth="1"/>
    <col min="12294" max="12297" width="5.42578125" style="262" customWidth="1"/>
    <col min="12298" max="12298" width="10.42578125" style="262" customWidth="1"/>
    <col min="12299" max="12299" width="7.85546875" style="262" customWidth="1"/>
    <col min="12300" max="12300" width="8.85546875" style="262" customWidth="1"/>
    <col min="12301" max="12301" width="8.42578125" style="262" customWidth="1"/>
    <col min="12302" max="12302" width="4.42578125" style="262" customWidth="1"/>
    <col min="12303" max="12304" width="4.140625" style="262" customWidth="1"/>
    <col min="12305" max="12305" width="6.85546875" style="262" customWidth="1"/>
    <col min="12306" max="12306" width="4.140625" style="262" customWidth="1"/>
    <col min="12307" max="12312" width="4.42578125" style="262" customWidth="1"/>
    <col min="12313" max="12313" width="7" style="262" customWidth="1"/>
    <col min="12314" max="12314" width="0" style="262" hidden="1" customWidth="1"/>
    <col min="12315" max="12318" width="3.5703125" style="262" customWidth="1"/>
    <col min="12319" max="12320" width="3.5703125" style="262"/>
    <col min="12321" max="12322" width="0" style="262" hidden="1" customWidth="1"/>
    <col min="12323" max="12329" width="3.5703125" style="262"/>
    <col min="12330" max="12330" width="5.5703125" style="262" bestFit="1" customWidth="1"/>
    <col min="12331" max="12332" width="3.5703125" style="262"/>
    <col min="12333" max="12333" width="6.5703125" style="262" bestFit="1" customWidth="1"/>
    <col min="12334" max="12334" width="3.5703125" style="262"/>
    <col min="12335" max="12335" width="5.5703125" style="262" bestFit="1" customWidth="1"/>
    <col min="12336" max="12547" width="3.5703125" style="262"/>
    <col min="12548" max="12548" width="11.42578125" style="262" customWidth="1"/>
    <col min="12549" max="12549" width="1.85546875" style="262" customWidth="1"/>
    <col min="12550" max="12553" width="5.42578125" style="262" customWidth="1"/>
    <col min="12554" max="12554" width="10.42578125" style="262" customWidth="1"/>
    <col min="12555" max="12555" width="7.85546875" style="262" customWidth="1"/>
    <col min="12556" max="12556" width="8.85546875" style="262" customWidth="1"/>
    <col min="12557" max="12557" width="8.42578125" style="262" customWidth="1"/>
    <col min="12558" max="12558" width="4.42578125" style="262" customWidth="1"/>
    <col min="12559" max="12560" width="4.140625" style="262" customWidth="1"/>
    <col min="12561" max="12561" width="6.85546875" style="262" customWidth="1"/>
    <col min="12562" max="12562" width="4.140625" style="262" customWidth="1"/>
    <col min="12563" max="12568" width="4.42578125" style="262" customWidth="1"/>
    <col min="12569" max="12569" width="7" style="262" customWidth="1"/>
    <col min="12570" max="12570" width="0" style="262" hidden="1" customWidth="1"/>
    <col min="12571" max="12574" width="3.5703125" style="262" customWidth="1"/>
    <col min="12575" max="12576" width="3.5703125" style="262"/>
    <col min="12577" max="12578" width="0" style="262" hidden="1" customWidth="1"/>
    <col min="12579" max="12585" width="3.5703125" style="262"/>
    <col min="12586" max="12586" width="5.5703125" style="262" bestFit="1" customWidth="1"/>
    <col min="12587" max="12588" width="3.5703125" style="262"/>
    <col min="12589" max="12589" width="6.5703125" style="262" bestFit="1" customWidth="1"/>
    <col min="12590" max="12590" width="3.5703125" style="262"/>
    <col min="12591" max="12591" width="5.5703125" style="262" bestFit="1" customWidth="1"/>
    <col min="12592" max="12803" width="3.5703125" style="262"/>
    <col min="12804" max="12804" width="11.42578125" style="262" customWidth="1"/>
    <col min="12805" max="12805" width="1.85546875" style="262" customWidth="1"/>
    <col min="12806" max="12809" width="5.42578125" style="262" customWidth="1"/>
    <col min="12810" max="12810" width="10.42578125" style="262" customWidth="1"/>
    <col min="12811" max="12811" width="7.85546875" style="262" customWidth="1"/>
    <col min="12812" max="12812" width="8.85546875" style="262" customWidth="1"/>
    <col min="12813" max="12813" width="8.42578125" style="262" customWidth="1"/>
    <col min="12814" max="12814" width="4.42578125" style="262" customWidth="1"/>
    <col min="12815" max="12816" width="4.140625" style="262" customWidth="1"/>
    <col min="12817" max="12817" width="6.85546875" style="262" customWidth="1"/>
    <col min="12818" max="12818" width="4.140625" style="262" customWidth="1"/>
    <col min="12819" max="12824" width="4.42578125" style="262" customWidth="1"/>
    <col min="12825" max="12825" width="7" style="262" customWidth="1"/>
    <col min="12826" max="12826" width="0" style="262" hidden="1" customWidth="1"/>
    <col min="12827" max="12830" width="3.5703125" style="262" customWidth="1"/>
    <col min="12831" max="12832" width="3.5703125" style="262"/>
    <col min="12833" max="12834" width="0" style="262" hidden="1" customWidth="1"/>
    <col min="12835" max="12841" width="3.5703125" style="262"/>
    <col min="12842" max="12842" width="5.5703125" style="262" bestFit="1" customWidth="1"/>
    <col min="12843" max="12844" width="3.5703125" style="262"/>
    <col min="12845" max="12845" width="6.5703125" style="262" bestFit="1" customWidth="1"/>
    <col min="12846" max="12846" width="3.5703125" style="262"/>
    <col min="12847" max="12847" width="5.5703125" style="262" bestFit="1" customWidth="1"/>
    <col min="12848" max="13059" width="3.5703125" style="262"/>
    <col min="13060" max="13060" width="11.42578125" style="262" customWidth="1"/>
    <col min="13061" max="13061" width="1.85546875" style="262" customWidth="1"/>
    <col min="13062" max="13065" width="5.42578125" style="262" customWidth="1"/>
    <col min="13066" max="13066" width="10.42578125" style="262" customWidth="1"/>
    <col min="13067" max="13067" width="7.85546875" style="262" customWidth="1"/>
    <col min="13068" max="13068" width="8.85546875" style="262" customWidth="1"/>
    <col min="13069" max="13069" width="8.42578125" style="262" customWidth="1"/>
    <col min="13070" max="13070" width="4.42578125" style="262" customWidth="1"/>
    <col min="13071" max="13072" width="4.140625" style="262" customWidth="1"/>
    <col min="13073" max="13073" width="6.85546875" style="262" customWidth="1"/>
    <col min="13074" max="13074" width="4.140625" style="262" customWidth="1"/>
    <col min="13075" max="13080" width="4.42578125" style="262" customWidth="1"/>
    <col min="13081" max="13081" width="7" style="262" customWidth="1"/>
    <col min="13082" max="13082" width="0" style="262" hidden="1" customWidth="1"/>
    <col min="13083" max="13086" width="3.5703125" style="262" customWidth="1"/>
    <col min="13087" max="13088" width="3.5703125" style="262"/>
    <col min="13089" max="13090" width="0" style="262" hidden="1" customWidth="1"/>
    <col min="13091" max="13097" width="3.5703125" style="262"/>
    <col min="13098" max="13098" width="5.5703125" style="262" bestFit="1" customWidth="1"/>
    <col min="13099" max="13100" width="3.5703125" style="262"/>
    <col min="13101" max="13101" width="6.5703125" style="262" bestFit="1" customWidth="1"/>
    <col min="13102" max="13102" width="3.5703125" style="262"/>
    <col min="13103" max="13103" width="5.5703125" style="262" bestFit="1" customWidth="1"/>
    <col min="13104" max="13315" width="3.5703125" style="262"/>
    <col min="13316" max="13316" width="11.42578125" style="262" customWidth="1"/>
    <col min="13317" max="13317" width="1.85546875" style="262" customWidth="1"/>
    <col min="13318" max="13321" width="5.42578125" style="262" customWidth="1"/>
    <col min="13322" max="13322" width="10.42578125" style="262" customWidth="1"/>
    <col min="13323" max="13323" width="7.85546875" style="262" customWidth="1"/>
    <col min="13324" max="13324" width="8.85546875" style="262" customWidth="1"/>
    <col min="13325" max="13325" width="8.42578125" style="262" customWidth="1"/>
    <col min="13326" max="13326" width="4.42578125" style="262" customWidth="1"/>
    <col min="13327" max="13328" width="4.140625" style="262" customWidth="1"/>
    <col min="13329" max="13329" width="6.85546875" style="262" customWidth="1"/>
    <col min="13330" max="13330" width="4.140625" style="262" customWidth="1"/>
    <col min="13331" max="13336" width="4.42578125" style="262" customWidth="1"/>
    <col min="13337" max="13337" width="7" style="262" customWidth="1"/>
    <col min="13338" max="13338" width="0" style="262" hidden="1" customWidth="1"/>
    <col min="13339" max="13342" width="3.5703125" style="262" customWidth="1"/>
    <col min="13343" max="13344" width="3.5703125" style="262"/>
    <col min="13345" max="13346" width="0" style="262" hidden="1" customWidth="1"/>
    <col min="13347" max="13353" width="3.5703125" style="262"/>
    <col min="13354" max="13354" width="5.5703125" style="262" bestFit="1" customWidth="1"/>
    <col min="13355" max="13356" width="3.5703125" style="262"/>
    <col min="13357" max="13357" width="6.5703125" style="262" bestFit="1" customWidth="1"/>
    <col min="13358" max="13358" width="3.5703125" style="262"/>
    <col min="13359" max="13359" width="5.5703125" style="262" bestFit="1" customWidth="1"/>
    <col min="13360" max="13571" width="3.5703125" style="262"/>
    <col min="13572" max="13572" width="11.42578125" style="262" customWidth="1"/>
    <col min="13573" max="13573" width="1.85546875" style="262" customWidth="1"/>
    <col min="13574" max="13577" width="5.42578125" style="262" customWidth="1"/>
    <col min="13578" max="13578" width="10.42578125" style="262" customWidth="1"/>
    <col min="13579" max="13579" width="7.85546875" style="262" customWidth="1"/>
    <col min="13580" max="13580" width="8.85546875" style="262" customWidth="1"/>
    <col min="13581" max="13581" width="8.42578125" style="262" customWidth="1"/>
    <col min="13582" max="13582" width="4.42578125" style="262" customWidth="1"/>
    <col min="13583" max="13584" width="4.140625" style="262" customWidth="1"/>
    <col min="13585" max="13585" width="6.85546875" style="262" customWidth="1"/>
    <col min="13586" max="13586" width="4.140625" style="262" customWidth="1"/>
    <col min="13587" max="13592" width="4.42578125" style="262" customWidth="1"/>
    <col min="13593" max="13593" width="7" style="262" customWidth="1"/>
    <col min="13594" max="13594" width="0" style="262" hidden="1" customWidth="1"/>
    <col min="13595" max="13598" width="3.5703125" style="262" customWidth="1"/>
    <col min="13599" max="13600" width="3.5703125" style="262"/>
    <col min="13601" max="13602" width="0" style="262" hidden="1" customWidth="1"/>
    <col min="13603" max="13609" width="3.5703125" style="262"/>
    <col min="13610" max="13610" width="5.5703125" style="262" bestFit="1" customWidth="1"/>
    <col min="13611" max="13612" width="3.5703125" style="262"/>
    <col min="13613" max="13613" width="6.5703125" style="262" bestFit="1" customWidth="1"/>
    <col min="13614" max="13614" width="3.5703125" style="262"/>
    <col min="13615" max="13615" width="5.5703125" style="262" bestFit="1" customWidth="1"/>
    <col min="13616" max="13827" width="3.5703125" style="262"/>
    <col min="13828" max="13828" width="11.42578125" style="262" customWidth="1"/>
    <col min="13829" max="13829" width="1.85546875" style="262" customWidth="1"/>
    <col min="13830" max="13833" width="5.42578125" style="262" customWidth="1"/>
    <col min="13834" max="13834" width="10.42578125" style="262" customWidth="1"/>
    <col min="13835" max="13835" width="7.85546875" style="262" customWidth="1"/>
    <col min="13836" max="13836" width="8.85546875" style="262" customWidth="1"/>
    <col min="13837" max="13837" width="8.42578125" style="262" customWidth="1"/>
    <col min="13838" max="13838" width="4.42578125" style="262" customWidth="1"/>
    <col min="13839" max="13840" width="4.140625" style="262" customWidth="1"/>
    <col min="13841" max="13841" width="6.85546875" style="262" customWidth="1"/>
    <col min="13842" max="13842" width="4.140625" style="262" customWidth="1"/>
    <col min="13843" max="13848" width="4.42578125" style="262" customWidth="1"/>
    <col min="13849" max="13849" width="7" style="262" customWidth="1"/>
    <col min="13850" max="13850" width="0" style="262" hidden="1" customWidth="1"/>
    <col min="13851" max="13854" width="3.5703125" style="262" customWidth="1"/>
    <col min="13855" max="13856" width="3.5703125" style="262"/>
    <col min="13857" max="13858" width="0" style="262" hidden="1" customWidth="1"/>
    <col min="13859" max="13865" width="3.5703125" style="262"/>
    <col min="13866" max="13866" width="5.5703125" style="262" bestFit="1" customWidth="1"/>
    <col min="13867" max="13868" width="3.5703125" style="262"/>
    <col min="13869" max="13869" width="6.5703125" style="262" bestFit="1" customWidth="1"/>
    <col min="13870" max="13870" width="3.5703125" style="262"/>
    <col min="13871" max="13871" width="5.5703125" style="262" bestFit="1" customWidth="1"/>
    <col min="13872" max="14083" width="3.5703125" style="262"/>
    <col min="14084" max="14084" width="11.42578125" style="262" customWidth="1"/>
    <col min="14085" max="14085" width="1.85546875" style="262" customWidth="1"/>
    <col min="14086" max="14089" width="5.42578125" style="262" customWidth="1"/>
    <col min="14090" max="14090" width="10.42578125" style="262" customWidth="1"/>
    <col min="14091" max="14091" width="7.85546875" style="262" customWidth="1"/>
    <col min="14092" max="14092" width="8.85546875" style="262" customWidth="1"/>
    <col min="14093" max="14093" width="8.42578125" style="262" customWidth="1"/>
    <col min="14094" max="14094" width="4.42578125" style="262" customWidth="1"/>
    <col min="14095" max="14096" width="4.140625" style="262" customWidth="1"/>
    <col min="14097" max="14097" width="6.85546875" style="262" customWidth="1"/>
    <col min="14098" max="14098" width="4.140625" style="262" customWidth="1"/>
    <col min="14099" max="14104" width="4.42578125" style="262" customWidth="1"/>
    <col min="14105" max="14105" width="7" style="262" customWidth="1"/>
    <col min="14106" max="14106" width="0" style="262" hidden="1" customWidth="1"/>
    <col min="14107" max="14110" width="3.5703125" style="262" customWidth="1"/>
    <col min="14111" max="14112" width="3.5703125" style="262"/>
    <col min="14113" max="14114" width="0" style="262" hidden="1" customWidth="1"/>
    <col min="14115" max="14121" width="3.5703125" style="262"/>
    <col min="14122" max="14122" width="5.5703125" style="262" bestFit="1" customWidth="1"/>
    <col min="14123" max="14124" width="3.5703125" style="262"/>
    <col min="14125" max="14125" width="6.5703125" style="262" bestFit="1" customWidth="1"/>
    <col min="14126" max="14126" width="3.5703125" style="262"/>
    <col min="14127" max="14127" width="5.5703125" style="262" bestFit="1" customWidth="1"/>
    <col min="14128" max="14339" width="3.5703125" style="262"/>
    <col min="14340" max="14340" width="11.42578125" style="262" customWidth="1"/>
    <col min="14341" max="14341" width="1.85546875" style="262" customWidth="1"/>
    <col min="14342" max="14345" width="5.42578125" style="262" customWidth="1"/>
    <col min="14346" max="14346" width="10.42578125" style="262" customWidth="1"/>
    <col min="14347" max="14347" width="7.85546875" style="262" customWidth="1"/>
    <col min="14348" max="14348" width="8.85546875" style="262" customWidth="1"/>
    <col min="14349" max="14349" width="8.42578125" style="262" customWidth="1"/>
    <col min="14350" max="14350" width="4.42578125" style="262" customWidth="1"/>
    <col min="14351" max="14352" width="4.140625" style="262" customWidth="1"/>
    <col min="14353" max="14353" width="6.85546875" style="262" customWidth="1"/>
    <col min="14354" max="14354" width="4.140625" style="262" customWidth="1"/>
    <col min="14355" max="14360" width="4.42578125" style="262" customWidth="1"/>
    <col min="14361" max="14361" width="7" style="262" customWidth="1"/>
    <col min="14362" max="14362" width="0" style="262" hidden="1" customWidth="1"/>
    <col min="14363" max="14366" width="3.5703125" style="262" customWidth="1"/>
    <col min="14367" max="14368" width="3.5703125" style="262"/>
    <col min="14369" max="14370" width="0" style="262" hidden="1" customWidth="1"/>
    <col min="14371" max="14377" width="3.5703125" style="262"/>
    <col min="14378" max="14378" width="5.5703125" style="262" bestFit="1" customWidth="1"/>
    <col min="14379" max="14380" width="3.5703125" style="262"/>
    <col min="14381" max="14381" width="6.5703125" style="262" bestFit="1" customWidth="1"/>
    <col min="14382" max="14382" width="3.5703125" style="262"/>
    <col min="14383" max="14383" width="5.5703125" style="262" bestFit="1" customWidth="1"/>
    <col min="14384" max="14595" width="3.5703125" style="262"/>
    <col min="14596" max="14596" width="11.42578125" style="262" customWidth="1"/>
    <col min="14597" max="14597" width="1.85546875" style="262" customWidth="1"/>
    <col min="14598" max="14601" width="5.42578125" style="262" customWidth="1"/>
    <col min="14602" max="14602" width="10.42578125" style="262" customWidth="1"/>
    <col min="14603" max="14603" width="7.85546875" style="262" customWidth="1"/>
    <col min="14604" max="14604" width="8.85546875" style="262" customWidth="1"/>
    <col min="14605" max="14605" width="8.42578125" style="262" customWidth="1"/>
    <col min="14606" max="14606" width="4.42578125" style="262" customWidth="1"/>
    <col min="14607" max="14608" width="4.140625" style="262" customWidth="1"/>
    <col min="14609" max="14609" width="6.85546875" style="262" customWidth="1"/>
    <col min="14610" max="14610" width="4.140625" style="262" customWidth="1"/>
    <col min="14611" max="14616" width="4.42578125" style="262" customWidth="1"/>
    <col min="14617" max="14617" width="7" style="262" customWidth="1"/>
    <col min="14618" max="14618" width="0" style="262" hidden="1" customWidth="1"/>
    <col min="14619" max="14622" width="3.5703125" style="262" customWidth="1"/>
    <col min="14623" max="14624" width="3.5703125" style="262"/>
    <col min="14625" max="14626" width="0" style="262" hidden="1" customWidth="1"/>
    <col min="14627" max="14633" width="3.5703125" style="262"/>
    <col min="14634" max="14634" width="5.5703125" style="262" bestFit="1" customWidth="1"/>
    <col min="14635" max="14636" width="3.5703125" style="262"/>
    <col min="14637" max="14637" width="6.5703125" style="262" bestFit="1" customWidth="1"/>
    <col min="14638" max="14638" width="3.5703125" style="262"/>
    <col min="14639" max="14639" width="5.5703125" style="262" bestFit="1" customWidth="1"/>
    <col min="14640" max="14851" width="3.5703125" style="262"/>
    <col min="14852" max="14852" width="11.42578125" style="262" customWidth="1"/>
    <col min="14853" max="14853" width="1.85546875" style="262" customWidth="1"/>
    <col min="14854" max="14857" width="5.42578125" style="262" customWidth="1"/>
    <col min="14858" max="14858" width="10.42578125" style="262" customWidth="1"/>
    <col min="14859" max="14859" width="7.85546875" style="262" customWidth="1"/>
    <col min="14860" max="14860" width="8.85546875" style="262" customWidth="1"/>
    <col min="14861" max="14861" width="8.42578125" style="262" customWidth="1"/>
    <col min="14862" max="14862" width="4.42578125" style="262" customWidth="1"/>
    <col min="14863" max="14864" width="4.140625" style="262" customWidth="1"/>
    <col min="14865" max="14865" width="6.85546875" style="262" customWidth="1"/>
    <col min="14866" max="14866" width="4.140625" style="262" customWidth="1"/>
    <col min="14867" max="14872" width="4.42578125" style="262" customWidth="1"/>
    <col min="14873" max="14873" width="7" style="262" customWidth="1"/>
    <col min="14874" max="14874" width="0" style="262" hidden="1" customWidth="1"/>
    <col min="14875" max="14878" width="3.5703125" style="262" customWidth="1"/>
    <col min="14879" max="14880" width="3.5703125" style="262"/>
    <col min="14881" max="14882" width="0" style="262" hidden="1" customWidth="1"/>
    <col min="14883" max="14889" width="3.5703125" style="262"/>
    <col min="14890" max="14890" width="5.5703125" style="262" bestFit="1" customWidth="1"/>
    <col min="14891" max="14892" width="3.5703125" style="262"/>
    <col min="14893" max="14893" width="6.5703125" style="262" bestFit="1" customWidth="1"/>
    <col min="14894" max="14894" width="3.5703125" style="262"/>
    <col min="14895" max="14895" width="5.5703125" style="262" bestFit="1" customWidth="1"/>
    <col min="14896" max="15107" width="3.5703125" style="262"/>
    <col min="15108" max="15108" width="11.42578125" style="262" customWidth="1"/>
    <col min="15109" max="15109" width="1.85546875" style="262" customWidth="1"/>
    <col min="15110" max="15113" width="5.42578125" style="262" customWidth="1"/>
    <col min="15114" max="15114" width="10.42578125" style="262" customWidth="1"/>
    <col min="15115" max="15115" width="7.85546875" style="262" customWidth="1"/>
    <col min="15116" max="15116" width="8.85546875" style="262" customWidth="1"/>
    <col min="15117" max="15117" width="8.42578125" style="262" customWidth="1"/>
    <col min="15118" max="15118" width="4.42578125" style="262" customWidth="1"/>
    <col min="15119" max="15120" width="4.140625" style="262" customWidth="1"/>
    <col min="15121" max="15121" width="6.85546875" style="262" customWidth="1"/>
    <col min="15122" max="15122" width="4.140625" style="262" customWidth="1"/>
    <col min="15123" max="15128" width="4.42578125" style="262" customWidth="1"/>
    <col min="15129" max="15129" width="7" style="262" customWidth="1"/>
    <col min="15130" max="15130" width="0" style="262" hidden="1" customWidth="1"/>
    <col min="15131" max="15134" width="3.5703125" style="262" customWidth="1"/>
    <col min="15135" max="15136" width="3.5703125" style="262"/>
    <col min="15137" max="15138" width="0" style="262" hidden="1" customWidth="1"/>
    <col min="15139" max="15145" width="3.5703125" style="262"/>
    <col min="15146" max="15146" width="5.5703125" style="262" bestFit="1" customWidth="1"/>
    <col min="15147" max="15148" width="3.5703125" style="262"/>
    <col min="15149" max="15149" width="6.5703125" style="262" bestFit="1" customWidth="1"/>
    <col min="15150" max="15150" width="3.5703125" style="262"/>
    <col min="15151" max="15151" width="5.5703125" style="262" bestFit="1" customWidth="1"/>
    <col min="15152" max="15363" width="3.5703125" style="262"/>
    <col min="15364" max="15364" width="11.42578125" style="262" customWidth="1"/>
    <col min="15365" max="15365" width="1.85546875" style="262" customWidth="1"/>
    <col min="15366" max="15369" width="5.42578125" style="262" customWidth="1"/>
    <col min="15370" max="15370" width="10.42578125" style="262" customWidth="1"/>
    <col min="15371" max="15371" width="7.85546875" style="262" customWidth="1"/>
    <col min="15372" max="15372" width="8.85546875" style="262" customWidth="1"/>
    <col min="15373" max="15373" width="8.42578125" style="262" customWidth="1"/>
    <col min="15374" max="15374" width="4.42578125" style="262" customWidth="1"/>
    <col min="15375" max="15376" width="4.140625" style="262" customWidth="1"/>
    <col min="15377" max="15377" width="6.85546875" style="262" customWidth="1"/>
    <col min="15378" max="15378" width="4.140625" style="262" customWidth="1"/>
    <col min="15379" max="15384" width="4.42578125" style="262" customWidth="1"/>
    <col min="15385" max="15385" width="7" style="262" customWidth="1"/>
    <col min="15386" max="15386" width="0" style="262" hidden="1" customWidth="1"/>
    <col min="15387" max="15390" width="3.5703125" style="262" customWidth="1"/>
    <col min="15391" max="15392" width="3.5703125" style="262"/>
    <col min="15393" max="15394" width="0" style="262" hidden="1" customWidth="1"/>
    <col min="15395" max="15401" width="3.5703125" style="262"/>
    <col min="15402" max="15402" width="5.5703125" style="262" bestFit="1" customWidth="1"/>
    <col min="15403" max="15404" width="3.5703125" style="262"/>
    <col min="15405" max="15405" width="6.5703125" style="262" bestFit="1" customWidth="1"/>
    <col min="15406" max="15406" width="3.5703125" style="262"/>
    <col min="15407" max="15407" width="5.5703125" style="262" bestFit="1" customWidth="1"/>
    <col min="15408" max="15619" width="3.5703125" style="262"/>
    <col min="15620" max="15620" width="11.42578125" style="262" customWidth="1"/>
    <col min="15621" max="15621" width="1.85546875" style="262" customWidth="1"/>
    <col min="15622" max="15625" width="5.42578125" style="262" customWidth="1"/>
    <col min="15626" max="15626" width="10.42578125" style="262" customWidth="1"/>
    <col min="15627" max="15627" width="7.85546875" style="262" customWidth="1"/>
    <col min="15628" max="15628" width="8.85546875" style="262" customWidth="1"/>
    <col min="15629" max="15629" width="8.42578125" style="262" customWidth="1"/>
    <col min="15630" max="15630" width="4.42578125" style="262" customWidth="1"/>
    <col min="15631" max="15632" width="4.140625" style="262" customWidth="1"/>
    <col min="15633" max="15633" width="6.85546875" style="262" customWidth="1"/>
    <col min="15634" max="15634" width="4.140625" style="262" customWidth="1"/>
    <col min="15635" max="15640" width="4.42578125" style="262" customWidth="1"/>
    <col min="15641" max="15641" width="7" style="262" customWidth="1"/>
    <col min="15642" max="15642" width="0" style="262" hidden="1" customWidth="1"/>
    <col min="15643" max="15646" width="3.5703125" style="262" customWidth="1"/>
    <col min="15647" max="15648" width="3.5703125" style="262"/>
    <col min="15649" max="15650" width="0" style="262" hidden="1" customWidth="1"/>
    <col min="15651" max="15657" width="3.5703125" style="262"/>
    <col min="15658" max="15658" width="5.5703125" style="262" bestFit="1" customWidth="1"/>
    <col min="15659" max="15660" width="3.5703125" style="262"/>
    <col min="15661" max="15661" width="6.5703125" style="262" bestFit="1" customWidth="1"/>
    <col min="15662" max="15662" width="3.5703125" style="262"/>
    <col min="15663" max="15663" width="5.5703125" style="262" bestFit="1" customWidth="1"/>
    <col min="15664" max="15875" width="3.5703125" style="262"/>
    <col min="15876" max="15876" width="11.42578125" style="262" customWidth="1"/>
    <col min="15877" max="15877" width="1.85546875" style="262" customWidth="1"/>
    <col min="15878" max="15881" width="5.42578125" style="262" customWidth="1"/>
    <col min="15882" max="15882" width="10.42578125" style="262" customWidth="1"/>
    <col min="15883" max="15883" width="7.85546875" style="262" customWidth="1"/>
    <col min="15884" max="15884" width="8.85546875" style="262" customWidth="1"/>
    <col min="15885" max="15885" width="8.42578125" style="262" customWidth="1"/>
    <col min="15886" max="15886" width="4.42578125" style="262" customWidth="1"/>
    <col min="15887" max="15888" width="4.140625" style="262" customWidth="1"/>
    <col min="15889" max="15889" width="6.85546875" style="262" customWidth="1"/>
    <col min="15890" max="15890" width="4.140625" style="262" customWidth="1"/>
    <col min="15891" max="15896" width="4.42578125" style="262" customWidth="1"/>
    <col min="15897" max="15897" width="7" style="262" customWidth="1"/>
    <col min="15898" max="15898" width="0" style="262" hidden="1" customWidth="1"/>
    <col min="15899" max="15902" width="3.5703125" style="262" customWidth="1"/>
    <col min="15903" max="15904" width="3.5703125" style="262"/>
    <col min="15905" max="15906" width="0" style="262" hidden="1" customWidth="1"/>
    <col min="15907" max="15913" width="3.5703125" style="262"/>
    <col min="15914" max="15914" width="5.5703125" style="262" bestFit="1" customWidth="1"/>
    <col min="15915" max="15916" width="3.5703125" style="262"/>
    <col min="15917" max="15917" width="6.5703125" style="262" bestFit="1" customWidth="1"/>
    <col min="15918" max="15918" width="3.5703125" style="262"/>
    <col min="15919" max="15919" width="5.5703125" style="262" bestFit="1" customWidth="1"/>
    <col min="15920" max="16131" width="3.5703125" style="262"/>
    <col min="16132" max="16132" width="11.42578125" style="262" customWidth="1"/>
    <col min="16133" max="16133" width="1.85546875" style="262" customWidth="1"/>
    <col min="16134" max="16137" width="5.42578125" style="262" customWidth="1"/>
    <col min="16138" max="16138" width="10.42578125" style="262" customWidth="1"/>
    <col min="16139" max="16139" width="7.85546875" style="262" customWidth="1"/>
    <col min="16140" max="16140" width="8.85546875" style="262" customWidth="1"/>
    <col min="16141" max="16141" width="8.42578125" style="262" customWidth="1"/>
    <col min="16142" max="16142" width="4.42578125" style="262" customWidth="1"/>
    <col min="16143" max="16144" width="4.140625" style="262" customWidth="1"/>
    <col min="16145" max="16145" width="6.85546875" style="262" customWidth="1"/>
    <col min="16146" max="16146" width="4.140625" style="262" customWidth="1"/>
    <col min="16147" max="16152" width="4.42578125" style="262" customWidth="1"/>
    <col min="16153" max="16153" width="7" style="262" customWidth="1"/>
    <col min="16154" max="16154" width="0" style="262" hidden="1" customWidth="1"/>
    <col min="16155" max="16158" width="3.5703125" style="262" customWidth="1"/>
    <col min="16159" max="16160" width="3.5703125" style="262"/>
    <col min="16161" max="16162" width="0" style="262" hidden="1" customWidth="1"/>
    <col min="16163" max="16169" width="3.5703125" style="262"/>
    <col min="16170" max="16170" width="5.5703125" style="262" bestFit="1" customWidth="1"/>
    <col min="16171" max="16172" width="3.5703125" style="262"/>
    <col min="16173" max="16173" width="6.5703125" style="262" bestFit="1" customWidth="1"/>
    <col min="16174" max="16174" width="3.5703125" style="262"/>
    <col min="16175" max="16175" width="5.5703125" style="262" bestFit="1" customWidth="1"/>
    <col min="16176" max="16384" width="3.5703125" style="262"/>
  </cols>
  <sheetData>
    <row r="1" spans="2:36" s="7" customFormat="1" ht="9.9499999999999993" customHeight="1" x14ac:dyDescent="0.25">
      <c r="B1" s="584" t="s">
        <v>301</v>
      </c>
      <c r="C1" s="610"/>
      <c r="D1" s="610"/>
      <c r="E1" s="610"/>
      <c r="F1" s="610"/>
      <c r="G1" s="610"/>
      <c r="H1" s="610"/>
      <c r="I1" s="610"/>
      <c r="J1" s="610"/>
      <c r="K1" s="610"/>
      <c r="L1" s="610"/>
      <c r="M1" s="610"/>
      <c r="N1" s="610"/>
      <c r="O1" s="610"/>
      <c r="P1" s="610"/>
      <c r="Q1" s="610"/>
      <c r="R1" s="610"/>
      <c r="S1" s="610"/>
      <c r="T1" s="610"/>
      <c r="U1" s="610"/>
      <c r="V1" s="610"/>
      <c r="W1" s="610"/>
      <c r="X1" s="610"/>
      <c r="Y1" s="610"/>
      <c r="AB1" s="263"/>
      <c r="AC1" s="263"/>
      <c r="AD1" s="263"/>
      <c r="AE1" s="263"/>
      <c r="AF1" s="263"/>
      <c r="AG1" s="263"/>
      <c r="AH1" s="263"/>
      <c r="AI1" s="263"/>
      <c r="AJ1" s="263"/>
    </row>
    <row r="2" spans="2:36" s="7" customFormat="1" ht="9.9499999999999993" customHeight="1" x14ac:dyDescent="0.25">
      <c r="B2" s="610"/>
      <c r="C2" s="610"/>
      <c r="D2" s="610"/>
      <c r="E2" s="610"/>
      <c r="F2" s="610"/>
      <c r="G2" s="610"/>
      <c r="H2" s="610"/>
      <c r="I2" s="610"/>
      <c r="J2" s="610"/>
      <c r="K2" s="610"/>
      <c r="L2" s="610"/>
      <c r="M2" s="610"/>
      <c r="N2" s="610"/>
      <c r="O2" s="610"/>
      <c r="P2" s="610"/>
      <c r="Q2" s="610"/>
      <c r="R2" s="610"/>
      <c r="S2" s="610"/>
      <c r="T2" s="610"/>
      <c r="U2" s="610"/>
      <c r="V2" s="610"/>
      <c r="W2" s="610"/>
      <c r="X2" s="610"/>
      <c r="Y2" s="610"/>
      <c r="AB2" s="263"/>
      <c r="AC2" s="263"/>
      <c r="AD2" s="263"/>
      <c r="AE2" s="263"/>
      <c r="AF2" s="263"/>
      <c r="AG2" s="263"/>
      <c r="AH2" s="263"/>
      <c r="AI2" s="263"/>
      <c r="AJ2" s="263"/>
    </row>
    <row r="3" spans="2:36" s="7" customFormat="1" ht="9.9499999999999993" customHeight="1" x14ac:dyDescent="0.25"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  <c r="P3" s="610"/>
      <c r="Q3" s="610"/>
      <c r="R3" s="610"/>
      <c r="S3" s="610"/>
      <c r="T3" s="610"/>
      <c r="U3" s="610"/>
      <c r="V3" s="610"/>
      <c r="W3" s="610"/>
      <c r="X3" s="610"/>
      <c r="Y3" s="610"/>
      <c r="AB3" s="263"/>
      <c r="AC3" s="263"/>
      <c r="AD3" s="263"/>
      <c r="AE3" s="263"/>
      <c r="AF3" s="263"/>
      <c r="AG3" s="263"/>
      <c r="AH3" s="263"/>
      <c r="AI3" s="263"/>
      <c r="AJ3" s="263"/>
    </row>
    <row r="4" spans="2:36" s="7" customFormat="1" ht="9.9499999999999993" customHeight="1" x14ac:dyDescent="0.25">
      <c r="B4" s="610"/>
      <c r="C4" s="610"/>
      <c r="D4" s="610"/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610"/>
      <c r="P4" s="610"/>
      <c r="Q4" s="610"/>
      <c r="R4" s="610"/>
      <c r="S4" s="610"/>
      <c r="T4" s="610"/>
      <c r="U4" s="610"/>
      <c r="V4" s="610"/>
      <c r="W4" s="610"/>
      <c r="X4" s="610"/>
      <c r="Y4" s="610"/>
      <c r="AB4" s="263"/>
      <c r="AC4" s="263"/>
      <c r="AD4" s="263"/>
      <c r="AE4" s="263"/>
      <c r="AF4" s="263"/>
      <c r="AG4" s="263"/>
      <c r="AH4" s="263"/>
      <c r="AI4" s="263"/>
      <c r="AJ4" s="263"/>
    </row>
    <row r="5" spans="2:36" s="7" customFormat="1" ht="9.9499999999999993" customHeight="1" x14ac:dyDescent="0.25">
      <c r="B5" s="610"/>
      <c r="C5" s="610"/>
      <c r="D5" s="610"/>
      <c r="E5" s="610"/>
      <c r="F5" s="610"/>
      <c r="G5" s="610"/>
      <c r="H5" s="610"/>
      <c r="I5" s="610"/>
      <c r="J5" s="610"/>
      <c r="K5" s="610"/>
      <c r="L5" s="610"/>
      <c r="M5" s="610"/>
      <c r="N5" s="610"/>
      <c r="O5" s="610"/>
      <c r="P5" s="610"/>
      <c r="Q5" s="610"/>
      <c r="R5" s="610"/>
      <c r="S5" s="610"/>
      <c r="T5" s="610"/>
      <c r="U5" s="610"/>
      <c r="V5" s="610"/>
      <c r="W5" s="610"/>
      <c r="X5" s="610"/>
      <c r="Y5" s="610"/>
      <c r="AB5" s="263"/>
      <c r="AC5" s="263"/>
      <c r="AD5" s="263"/>
      <c r="AE5" s="263"/>
      <c r="AF5" s="263"/>
      <c r="AG5" s="263"/>
      <c r="AH5" s="263"/>
      <c r="AI5" s="263"/>
      <c r="AJ5" s="263"/>
    </row>
    <row r="6" spans="2:36" s="7" customFormat="1" ht="9.9499999999999993" customHeight="1" x14ac:dyDescent="0.25">
      <c r="B6" s="610"/>
      <c r="C6" s="610"/>
      <c r="D6" s="610"/>
      <c r="E6" s="610"/>
      <c r="F6" s="610"/>
      <c r="G6" s="610"/>
      <c r="H6" s="610"/>
      <c r="I6" s="610"/>
      <c r="J6" s="610"/>
      <c r="K6" s="610"/>
      <c r="L6" s="610"/>
      <c r="M6" s="610"/>
      <c r="N6" s="610"/>
      <c r="O6" s="610"/>
      <c r="P6" s="610"/>
      <c r="Q6" s="610"/>
      <c r="R6" s="610"/>
      <c r="S6" s="610"/>
      <c r="T6" s="610"/>
      <c r="U6" s="610"/>
      <c r="V6" s="610"/>
      <c r="W6" s="610"/>
      <c r="X6" s="610"/>
      <c r="Y6" s="610"/>
      <c r="AB6" s="263"/>
      <c r="AC6" s="263"/>
      <c r="AD6" s="263"/>
      <c r="AE6" s="263"/>
      <c r="AF6" s="263"/>
      <c r="AG6" s="263"/>
      <c r="AH6" s="263"/>
      <c r="AI6" s="263"/>
      <c r="AJ6" s="263"/>
    </row>
    <row r="7" spans="2:36" s="7" customFormat="1" ht="15" x14ac:dyDescent="0.25">
      <c r="AB7" s="263"/>
      <c r="AC7" s="263"/>
      <c r="AD7" s="263"/>
      <c r="AE7" s="263"/>
      <c r="AF7" s="263"/>
      <c r="AG7" s="263"/>
      <c r="AH7" s="263"/>
      <c r="AI7" s="263"/>
      <c r="AJ7" s="263"/>
    </row>
    <row r="8" spans="2:36" s="261" customFormat="1" ht="18" customHeight="1" x14ac:dyDescent="0.25">
      <c r="B8" s="8" t="s">
        <v>50</v>
      </c>
      <c r="D8" s="13" t="str">
        <f>'DADOS DA OBRA'!$B$13</f>
        <v>TRIBUNAL REGIONAL ELEITORAL - PIAUÍ</v>
      </c>
      <c r="F8" s="9"/>
      <c r="G8" s="9"/>
      <c r="H8" s="9"/>
      <c r="I8" s="9"/>
      <c r="J8" s="9"/>
      <c r="K8" s="9"/>
      <c r="X8" s="10" t="s">
        <v>51</v>
      </c>
      <c r="Y8" s="11" t="str">
        <f>+'CURVA ABC - SERVIÇOS'!G8</f>
        <v>22/11/2021</v>
      </c>
      <c r="AB8" s="264"/>
      <c r="AC8" s="264"/>
      <c r="AD8" s="264"/>
      <c r="AE8" s="264"/>
      <c r="AF8" s="264"/>
      <c r="AG8" s="264"/>
      <c r="AH8" s="264"/>
      <c r="AI8" s="264"/>
      <c r="AJ8" s="264"/>
    </row>
    <row r="9" spans="2:36" s="261" customFormat="1" ht="18" customHeight="1" x14ac:dyDescent="0.25">
      <c r="B9" s="8" t="s">
        <v>69</v>
      </c>
      <c r="D9" s="13" t="str">
        <f>'DADOS DA OBRA'!$B$16</f>
        <v>ADEQUAÇÃO DE INSTALAÇÕES ELÉTRICAS E CABEAMENTO ESTRUTURADO - EDIFÍCIO SEDE</v>
      </c>
      <c r="F9" s="12"/>
      <c r="G9" s="12"/>
      <c r="H9" s="12"/>
      <c r="I9" s="12"/>
      <c r="J9" s="12"/>
      <c r="K9" s="12"/>
      <c r="X9" s="10" t="s">
        <v>52</v>
      </c>
      <c r="Y9" s="11">
        <f>+'CURVA ABC - SERVIÇOS'!G9</f>
        <v>44733</v>
      </c>
      <c r="AB9" s="264"/>
      <c r="AC9" s="264"/>
      <c r="AD9" s="264"/>
      <c r="AE9" s="264"/>
      <c r="AF9" s="264"/>
      <c r="AG9" s="264"/>
      <c r="AH9" s="264"/>
      <c r="AI9" s="264"/>
      <c r="AJ9" s="264"/>
    </row>
    <row r="10" spans="2:36" s="261" customFormat="1" ht="18" customHeight="1" x14ac:dyDescent="0.25">
      <c r="B10" s="8" t="s">
        <v>53</v>
      </c>
      <c r="D10" s="9" t="str">
        <f>+""&amp;'DADOS DA OBRA'!$B$19&amp;", "&amp;'DADOS DA OBRA'!$J$22&amp;", "&amp;'DADOS DA OBRA'!$P$22</f>
        <v>PRAÇA EDGAR NOGUEIRA, TERESINA, PI</v>
      </c>
      <c r="F10" s="12"/>
      <c r="G10" s="12"/>
      <c r="H10" s="12"/>
      <c r="I10" s="12"/>
      <c r="J10" s="12"/>
      <c r="K10" s="12"/>
      <c r="X10" s="10" t="s">
        <v>71</v>
      </c>
      <c r="Y10" s="294">
        <f>+'CURVA ABC - SERVIÇOS'!J8</f>
        <v>1.1186</v>
      </c>
      <c r="AB10" s="264"/>
      <c r="AC10" s="264"/>
      <c r="AD10" s="264"/>
      <c r="AE10" s="264"/>
      <c r="AF10" s="264"/>
      <c r="AG10" s="264"/>
      <c r="AH10" s="264"/>
      <c r="AI10" s="264"/>
      <c r="AJ10" s="264"/>
    </row>
    <row r="11" spans="2:36" ht="47.25" customHeight="1" x14ac:dyDescent="0.25">
      <c r="B11" s="8" t="s">
        <v>70</v>
      </c>
      <c r="D11" s="480" t="str">
        <f>+'DADOS DA OBRA'!$B$31</f>
        <v>SINAPI - 04/2022 - PIAUÍ   	SBC - 05/2022 - TSA - Teresina - PI  ORSE - 03/2022 - SERGIPE      ETOP - 03/2022 - Minas Gerais - Central SUDECAP - 02/2022 - MINAS GERAIS    CPOS - 02/2022 - São Paulo AGESUL - 01/2022 - MATO GROSSO DO SUL     GETOP CIVIL - 04/2022 - Goiás EMOP - 04/2022 - RIO DE JANEIRO</v>
      </c>
      <c r="E11" s="480"/>
      <c r="F11" s="480"/>
      <c r="G11" s="480"/>
      <c r="H11" s="480"/>
      <c r="I11" s="480"/>
      <c r="J11" s="480"/>
      <c r="K11" s="480"/>
      <c r="L11" s="480"/>
      <c r="M11" s="480"/>
      <c r="N11" s="480"/>
      <c r="O11" s="480"/>
      <c r="P11" s="480"/>
      <c r="Q11" s="480"/>
      <c r="R11" s="480"/>
      <c r="S11" s="480"/>
      <c r="T11" s="480"/>
      <c r="X11" s="10" t="s">
        <v>72</v>
      </c>
      <c r="Y11" s="294">
        <f>+'CURVA ABC - SERVIÇOS'!J9</f>
        <v>0.70630000000000004</v>
      </c>
      <c r="Z11" s="262"/>
    </row>
    <row r="12" spans="2:36" s="1" customFormat="1" ht="6.95" customHeight="1" x14ac:dyDescent="0.25">
      <c r="I12" s="2"/>
      <c r="J12" s="3"/>
      <c r="K12" s="3"/>
      <c r="L12" s="4"/>
      <c r="M12" s="5"/>
      <c r="N12" s="6"/>
      <c r="AB12" s="266"/>
      <c r="AC12" s="266"/>
      <c r="AD12" s="266"/>
      <c r="AE12" s="266"/>
      <c r="AF12" s="266"/>
      <c r="AG12" s="266"/>
      <c r="AH12" s="266"/>
      <c r="AI12" s="266"/>
      <c r="AJ12" s="266"/>
    </row>
    <row r="13" spans="2:36" ht="24.95" customHeight="1" x14ac:dyDescent="0.25">
      <c r="B13" s="583"/>
      <c r="C13" s="583"/>
      <c r="D13" s="583"/>
      <c r="E13" s="583"/>
      <c r="F13" s="583"/>
      <c r="G13" s="585"/>
      <c r="H13" s="585"/>
      <c r="I13" s="585"/>
      <c r="J13" s="585"/>
      <c r="K13" s="585"/>
      <c r="L13" s="585"/>
      <c r="M13" s="585"/>
      <c r="N13" s="585"/>
      <c r="O13" s="585"/>
      <c r="P13" s="585"/>
      <c r="Q13" s="585"/>
      <c r="R13" s="585"/>
      <c r="S13" s="585"/>
      <c r="T13" s="585"/>
      <c r="U13" s="585"/>
      <c r="V13" s="585"/>
      <c r="W13" s="585"/>
      <c r="X13" s="585"/>
      <c r="Y13" s="585"/>
      <c r="AB13" s="254"/>
      <c r="AC13" s="254"/>
      <c r="AD13" s="254"/>
      <c r="AE13" s="254"/>
    </row>
    <row r="14" spans="2:36" ht="24.95" customHeight="1" x14ac:dyDescent="0.25">
      <c r="B14" s="583" t="s">
        <v>38</v>
      </c>
      <c r="C14" s="583"/>
      <c r="D14" s="583"/>
      <c r="E14" s="583"/>
      <c r="F14" s="583"/>
      <c r="G14" s="589" t="str">
        <f>+'BDI OBRA - ONERADO'!G14:Y14</f>
        <v>TERESINA - PI</v>
      </c>
      <c r="H14" s="589"/>
      <c r="I14" s="589"/>
      <c r="J14" s="589"/>
      <c r="K14" s="589"/>
      <c r="L14" s="589"/>
      <c r="M14" s="589"/>
      <c r="N14" s="589"/>
      <c r="O14" s="589"/>
      <c r="P14" s="589"/>
      <c r="Q14" s="589"/>
      <c r="R14" s="589"/>
      <c r="S14" s="589"/>
      <c r="T14" s="589"/>
      <c r="U14" s="589"/>
      <c r="V14" s="589"/>
      <c r="W14" s="589"/>
      <c r="X14" s="589"/>
      <c r="Y14" s="589"/>
      <c r="AB14" s="254"/>
      <c r="AC14" s="254"/>
      <c r="AD14" s="254"/>
      <c r="AE14" s="254"/>
    </row>
    <row r="15" spans="2:36" ht="24.95" customHeight="1" x14ac:dyDescent="0.25">
      <c r="B15" s="583" t="s">
        <v>39</v>
      </c>
      <c r="C15" s="583"/>
      <c r="D15" s="583"/>
      <c r="E15" s="583"/>
      <c r="F15" s="583"/>
      <c r="G15" s="589" t="s">
        <v>81</v>
      </c>
      <c r="H15" s="589"/>
      <c r="I15" s="589"/>
      <c r="J15" s="589"/>
      <c r="K15" s="589"/>
      <c r="L15" s="589"/>
      <c r="M15" s="589"/>
      <c r="N15" s="589"/>
      <c r="O15" s="589"/>
      <c r="P15" s="589"/>
      <c r="Q15" s="589"/>
      <c r="R15" s="589"/>
      <c r="S15" s="589"/>
      <c r="T15" s="589"/>
      <c r="U15" s="589"/>
      <c r="V15" s="589"/>
      <c r="W15" s="589"/>
      <c r="X15" s="589"/>
      <c r="Y15" s="589"/>
      <c r="AB15" s="254"/>
      <c r="AC15" s="254"/>
      <c r="AD15" s="254"/>
      <c r="AE15" s="254"/>
    </row>
    <row r="16" spans="2:36" ht="24.95" customHeight="1" x14ac:dyDescent="0.25">
      <c r="B16" s="583" t="s">
        <v>82</v>
      </c>
      <c r="C16" s="583"/>
      <c r="D16" s="583"/>
      <c r="E16" s="583"/>
      <c r="F16" s="583"/>
      <c r="G16" s="588">
        <v>0.6</v>
      </c>
      <c r="H16" s="588"/>
      <c r="I16" s="588"/>
      <c r="J16" s="56" t="s">
        <v>87</v>
      </c>
      <c r="K16" s="55">
        <f>+'BDI OBRA - ONERADO'!K16</f>
        <v>0.03</v>
      </c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AB16" s="254"/>
      <c r="AC16" s="254"/>
      <c r="AD16" s="254"/>
      <c r="AE16" s="254"/>
    </row>
    <row r="17" spans="1:47" ht="24.95" customHeight="1" x14ac:dyDescent="0.25">
      <c r="B17" s="267"/>
      <c r="C17" s="267"/>
      <c r="D17" s="267"/>
      <c r="E17" s="267"/>
      <c r="F17" s="267"/>
      <c r="G17" s="267"/>
      <c r="H17" s="267"/>
      <c r="I17" s="267"/>
      <c r="J17" s="267"/>
      <c r="K17" s="267"/>
      <c r="L17" s="267"/>
      <c r="M17" s="267"/>
      <c r="N17" s="267"/>
      <c r="O17" s="267"/>
      <c r="P17" s="267"/>
      <c r="Q17" s="267"/>
      <c r="R17" s="267"/>
      <c r="S17" s="267"/>
      <c r="T17" s="267"/>
      <c r="U17" s="267"/>
      <c r="V17" s="267"/>
      <c r="W17" s="267"/>
      <c r="X17" s="267"/>
      <c r="Y17" s="267"/>
    </row>
    <row r="18" spans="1:47" ht="24.95" customHeight="1" x14ac:dyDescent="0.25">
      <c r="B18" s="267"/>
      <c r="C18" s="267"/>
      <c r="D18" s="267"/>
      <c r="E18" s="267"/>
      <c r="F18" s="267"/>
      <c r="G18" s="267"/>
      <c r="H18" s="267"/>
      <c r="I18" s="267"/>
      <c r="J18" s="267"/>
      <c r="K18" s="267"/>
      <c r="L18" s="267"/>
      <c r="M18" s="267"/>
      <c r="N18" s="267"/>
      <c r="O18" s="267"/>
      <c r="P18" s="267"/>
      <c r="Q18" s="267"/>
      <c r="R18" s="267"/>
      <c r="S18" s="267"/>
      <c r="T18" s="267"/>
      <c r="U18" s="267"/>
      <c r="V18" s="267"/>
      <c r="W18" s="267"/>
      <c r="X18" s="267"/>
      <c r="Y18" s="267"/>
    </row>
    <row r="19" spans="1:47" ht="24.95" customHeight="1" thickBot="1" x14ac:dyDescent="0.3">
      <c r="B19" s="267"/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267"/>
      <c r="W19" s="267"/>
      <c r="X19" s="267"/>
      <c r="Y19" s="267"/>
    </row>
    <row r="20" spans="1:47" ht="24.95" customHeight="1" x14ac:dyDescent="0.25">
      <c r="B20" s="12"/>
      <c r="C20" s="12"/>
      <c r="D20" s="12"/>
      <c r="E20" s="590" t="s">
        <v>83</v>
      </c>
      <c r="F20" s="591"/>
      <c r="G20" s="591"/>
      <c r="H20" s="591"/>
      <c r="I20" s="594" t="s">
        <v>40</v>
      </c>
      <c r="J20" s="594"/>
      <c r="K20" s="594"/>
      <c r="L20" s="595"/>
      <c r="O20" s="268"/>
      <c r="P20" s="598" t="s">
        <v>296</v>
      </c>
      <c r="Q20" s="599"/>
      <c r="R20" s="599"/>
      <c r="S20" s="599"/>
      <c r="T20" s="599"/>
      <c r="U20" s="599"/>
      <c r="V20" s="600"/>
      <c r="W20" s="268"/>
      <c r="X20" s="268"/>
      <c r="Y20" s="268"/>
      <c r="AA20" s="269"/>
      <c r="AB20" s="270"/>
      <c r="AC20" s="270"/>
      <c r="AD20" s="270"/>
      <c r="AM20" s="269"/>
      <c r="AN20" s="269"/>
      <c r="AO20" s="269"/>
      <c r="AP20" s="269"/>
      <c r="AQ20" s="269"/>
      <c r="AR20" s="269"/>
      <c r="AS20" s="269"/>
      <c r="AT20" s="269"/>
      <c r="AU20" s="269"/>
    </row>
    <row r="21" spans="1:47" ht="24.95" customHeight="1" thickBot="1" x14ac:dyDescent="0.3">
      <c r="B21" s="12"/>
      <c r="C21" s="12"/>
      <c r="D21" s="12"/>
      <c r="E21" s="592"/>
      <c r="F21" s="593"/>
      <c r="G21" s="593"/>
      <c r="H21" s="593"/>
      <c r="I21" s="596"/>
      <c r="J21" s="596"/>
      <c r="K21" s="596"/>
      <c r="L21" s="597"/>
      <c r="O21" s="53"/>
      <c r="P21" s="271" t="s">
        <v>297</v>
      </c>
      <c r="Q21" s="53"/>
      <c r="R21" s="53"/>
      <c r="S21" s="53" t="s">
        <v>298</v>
      </c>
      <c r="T21" s="53"/>
      <c r="U21" s="53"/>
      <c r="V21" s="272" t="s">
        <v>299</v>
      </c>
      <c r="W21" s="53"/>
      <c r="X21" s="53"/>
      <c r="Y21" s="53"/>
      <c r="AC21" s="254"/>
      <c r="AD21" s="254"/>
    </row>
    <row r="22" spans="1:47" ht="24.95" customHeight="1" x14ac:dyDescent="0.25">
      <c r="B22" s="12"/>
      <c r="C22" s="12"/>
      <c r="D22" s="12"/>
      <c r="E22" s="273" t="s">
        <v>73</v>
      </c>
      <c r="F22" s="274"/>
      <c r="G22" s="274"/>
      <c r="H22" s="274"/>
      <c r="I22" s="601">
        <v>3.45</v>
      </c>
      <c r="J22" s="601"/>
      <c r="K22" s="601"/>
      <c r="L22" s="602"/>
      <c r="O22" s="53"/>
      <c r="P22" s="271">
        <v>1.5</v>
      </c>
      <c r="Q22" s="53"/>
      <c r="R22" s="53"/>
      <c r="S22" s="53">
        <v>3.45</v>
      </c>
      <c r="T22" s="53"/>
      <c r="U22" s="53"/>
      <c r="V22" s="272">
        <v>4.49</v>
      </c>
      <c r="W22" s="53"/>
      <c r="X22" s="53"/>
      <c r="Y22" s="53"/>
      <c r="AC22" s="254"/>
      <c r="AD22" s="254"/>
    </row>
    <row r="23" spans="1:47" ht="24.95" customHeight="1" x14ac:dyDescent="0.25">
      <c r="B23" s="12"/>
      <c r="C23" s="12"/>
      <c r="D23" s="12"/>
      <c r="E23" s="273" t="s">
        <v>74</v>
      </c>
      <c r="F23" s="274"/>
      <c r="G23" s="274"/>
      <c r="H23" s="274"/>
      <c r="I23" s="586">
        <v>0.48</v>
      </c>
      <c r="J23" s="586"/>
      <c r="K23" s="586"/>
      <c r="L23" s="587"/>
      <c r="O23" s="53"/>
      <c r="P23" s="271">
        <v>0.3</v>
      </c>
      <c r="Q23" s="53"/>
      <c r="R23" s="53"/>
      <c r="S23" s="53">
        <v>0.48</v>
      </c>
      <c r="T23" s="53"/>
      <c r="U23" s="53"/>
      <c r="V23" s="272">
        <v>0.82</v>
      </c>
      <c r="W23" s="53"/>
      <c r="X23" s="53"/>
      <c r="Y23" s="53"/>
      <c r="AC23" s="254"/>
      <c r="AD23" s="254"/>
    </row>
    <row r="24" spans="1:47" ht="24.95" customHeight="1" x14ac:dyDescent="0.25">
      <c r="B24" s="12"/>
      <c r="C24" s="12"/>
      <c r="D24" s="12"/>
      <c r="E24" s="273" t="s">
        <v>75</v>
      </c>
      <c r="F24" s="274"/>
      <c r="G24" s="274"/>
      <c r="H24" s="274"/>
      <c r="I24" s="586">
        <v>0.85</v>
      </c>
      <c r="J24" s="586"/>
      <c r="K24" s="586"/>
      <c r="L24" s="587"/>
      <c r="O24" s="53"/>
      <c r="P24" s="271">
        <v>0.56000000000000005</v>
      </c>
      <c r="Q24" s="53"/>
      <c r="R24" s="53"/>
      <c r="S24" s="53">
        <v>0.85</v>
      </c>
      <c r="T24" s="53"/>
      <c r="U24" s="53"/>
      <c r="V24" s="272">
        <v>0.89</v>
      </c>
      <c r="W24" s="53"/>
      <c r="X24" s="53"/>
      <c r="Y24" s="53"/>
      <c r="AC24" s="254"/>
      <c r="AD24" s="254"/>
    </row>
    <row r="25" spans="1:47" ht="24.95" customHeight="1" x14ac:dyDescent="0.25">
      <c r="B25" s="12"/>
      <c r="C25" s="12"/>
      <c r="D25" s="12"/>
      <c r="E25" s="273" t="s">
        <v>76</v>
      </c>
      <c r="F25" s="274"/>
      <c r="G25" s="274"/>
      <c r="H25" s="274"/>
      <c r="I25" s="586">
        <v>0.85</v>
      </c>
      <c r="J25" s="586"/>
      <c r="K25" s="586"/>
      <c r="L25" s="587"/>
      <c r="O25" s="53"/>
      <c r="P25" s="271">
        <v>0.85</v>
      </c>
      <c r="Q25" s="53"/>
      <c r="R25" s="53"/>
      <c r="S25" s="53">
        <v>0.85</v>
      </c>
      <c r="T25" s="53"/>
      <c r="U25" s="53"/>
      <c r="V25" s="272">
        <v>1.1100000000000001</v>
      </c>
      <c r="W25" s="53"/>
      <c r="X25" s="53"/>
      <c r="Y25" s="53"/>
      <c r="AC25" s="254"/>
      <c r="AD25" s="254"/>
    </row>
    <row r="26" spans="1:47" ht="24.95" customHeight="1" x14ac:dyDescent="0.25">
      <c r="B26" s="12"/>
      <c r="C26" s="12"/>
      <c r="D26" s="12"/>
      <c r="E26" s="273" t="s">
        <v>77</v>
      </c>
      <c r="F26" s="274"/>
      <c r="G26" s="274"/>
      <c r="H26" s="274"/>
      <c r="I26" s="586">
        <v>5.1100000000000003</v>
      </c>
      <c r="J26" s="586"/>
      <c r="K26" s="586"/>
      <c r="L26" s="587"/>
      <c r="O26" s="53"/>
      <c r="P26" s="271">
        <v>3.5</v>
      </c>
      <c r="Q26" s="53"/>
      <c r="R26" s="53"/>
      <c r="S26" s="53">
        <v>5.1100000000000003</v>
      </c>
      <c r="T26" s="53"/>
      <c r="U26" s="53"/>
      <c r="V26" s="272">
        <v>6.22</v>
      </c>
      <c r="W26" s="53"/>
      <c r="X26" s="53"/>
      <c r="Y26" s="53"/>
      <c r="Z26" s="296"/>
      <c r="AA26" s="297"/>
      <c r="AB26" s="275"/>
      <c r="AC26" s="254"/>
      <c r="AD26" s="254"/>
    </row>
    <row r="27" spans="1:47" ht="24.95" customHeight="1" x14ac:dyDescent="0.25">
      <c r="B27" s="12"/>
      <c r="C27" s="12"/>
      <c r="D27" s="12"/>
      <c r="E27" s="273" t="s">
        <v>78</v>
      </c>
      <c r="F27" s="274"/>
      <c r="G27" s="274"/>
      <c r="H27" s="274"/>
      <c r="I27" s="586">
        <v>0.65</v>
      </c>
      <c r="J27" s="586"/>
      <c r="K27" s="586"/>
      <c r="L27" s="587"/>
      <c r="O27" s="53"/>
      <c r="P27" s="271">
        <v>0.65</v>
      </c>
      <c r="Q27" s="53"/>
      <c r="R27" s="53"/>
      <c r="S27" s="53">
        <v>0.65</v>
      </c>
      <c r="T27" s="53"/>
      <c r="U27" s="53"/>
      <c r="V27" s="272">
        <v>0.65</v>
      </c>
      <c r="W27" s="53"/>
      <c r="X27" s="53"/>
      <c r="Y27" s="53"/>
      <c r="AC27" s="254"/>
      <c r="AD27" s="254"/>
    </row>
    <row r="28" spans="1:47" ht="24.95" customHeight="1" x14ac:dyDescent="0.25">
      <c r="B28" s="12"/>
      <c r="C28" s="12"/>
      <c r="D28" s="12"/>
      <c r="E28" s="273" t="s">
        <v>79</v>
      </c>
      <c r="F28" s="274"/>
      <c r="G28" s="274"/>
      <c r="H28" s="274"/>
      <c r="I28" s="586">
        <v>3</v>
      </c>
      <c r="J28" s="586"/>
      <c r="K28" s="586"/>
      <c r="L28" s="587"/>
      <c r="O28" s="53"/>
      <c r="P28" s="271">
        <v>3</v>
      </c>
      <c r="Q28" s="53"/>
      <c r="R28" s="53"/>
      <c r="S28" s="53">
        <v>3</v>
      </c>
      <c r="T28" s="53"/>
      <c r="U28" s="53"/>
      <c r="V28" s="272">
        <v>3</v>
      </c>
      <c r="W28" s="53"/>
      <c r="X28" s="53"/>
      <c r="Y28" s="53"/>
      <c r="AC28" s="254"/>
      <c r="AD28" s="254"/>
    </row>
    <row r="29" spans="1:47" ht="24.95" customHeight="1" thickBot="1" x14ac:dyDescent="0.3">
      <c r="B29" s="12"/>
      <c r="C29" s="12"/>
      <c r="D29" s="12"/>
      <c r="E29" s="273" t="s">
        <v>80</v>
      </c>
      <c r="F29" s="274"/>
      <c r="G29" s="274"/>
      <c r="H29" s="274"/>
      <c r="I29" s="586"/>
      <c r="J29" s="586"/>
      <c r="K29" s="586"/>
      <c r="L29" s="587"/>
      <c r="O29" s="53"/>
      <c r="P29" s="276">
        <v>2</v>
      </c>
      <c r="Q29" s="277"/>
      <c r="R29" s="277"/>
      <c r="S29" s="277">
        <v>2</v>
      </c>
      <c r="T29" s="277"/>
      <c r="U29" s="277"/>
      <c r="V29" s="278">
        <v>5</v>
      </c>
      <c r="W29" s="53"/>
      <c r="X29" s="53"/>
      <c r="Y29" s="53"/>
      <c r="AC29" s="254"/>
      <c r="AD29" s="254"/>
    </row>
    <row r="30" spans="1:47" ht="24.95" customHeight="1" thickBot="1" x14ac:dyDescent="0.3">
      <c r="B30" s="12"/>
      <c r="C30" s="12"/>
      <c r="D30" s="12"/>
      <c r="E30" s="273" t="s">
        <v>84</v>
      </c>
      <c r="F30" s="274"/>
      <c r="G30" s="274"/>
      <c r="H30" s="274"/>
      <c r="I30" s="586"/>
      <c r="J30" s="586"/>
      <c r="K30" s="586"/>
      <c r="L30" s="587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AB30" s="279"/>
      <c r="AC30" s="254"/>
      <c r="AD30" s="254"/>
      <c r="AE30" s="254"/>
      <c r="AF30" s="254"/>
      <c r="AG30" s="254"/>
      <c r="AH30" s="254"/>
      <c r="AI30" s="254"/>
      <c r="AJ30" s="254"/>
    </row>
    <row r="31" spans="1:47" ht="24.95" customHeight="1" thickBot="1" x14ac:dyDescent="0.3">
      <c r="A31" s="54"/>
      <c r="B31" s="292"/>
      <c r="C31" s="280"/>
      <c r="D31" s="281"/>
      <c r="E31" s="282" t="s">
        <v>41</v>
      </c>
      <c r="F31" s="283"/>
      <c r="G31" s="283"/>
      <c r="H31" s="283"/>
      <c r="I31" s="603">
        <f>TRUNC((((((1+I22/100+I23/100+I24/100)*(1+I25/100)*(1+I26/100))/(1-(I27/100+I28/100+I29/100+I30/100)))-1)*100),2)</f>
        <v>15.27</v>
      </c>
      <c r="J31" s="603"/>
      <c r="K31" s="603"/>
      <c r="L31" s="604"/>
      <c r="M31" s="284"/>
      <c r="N31" s="284"/>
      <c r="O31" s="284"/>
      <c r="P31" s="598" t="s">
        <v>300</v>
      </c>
      <c r="Q31" s="599"/>
      <c r="R31" s="599"/>
      <c r="S31" s="599"/>
      <c r="T31" s="599"/>
      <c r="U31" s="599"/>
      <c r="V31" s="600"/>
      <c r="W31" s="284"/>
      <c r="X31" s="284"/>
      <c r="Y31" s="12"/>
      <c r="Z31" s="54"/>
      <c r="AB31" s="285"/>
      <c r="AC31" s="285"/>
      <c r="AD31" s="285"/>
      <c r="AE31" s="285"/>
      <c r="AF31" s="285"/>
      <c r="AG31" s="285"/>
      <c r="AH31" s="285"/>
      <c r="AI31" s="285"/>
      <c r="AJ31" s="285"/>
    </row>
    <row r="32" spans="1:47" ht="24.95" customHeight="1" thickBot="1" x14ac:dyDescent="0.3">
      <c r="A32" s="54"/>
      <c r="B32" s="292"/>
      <c r="C32" s="280"/>
      <c r="D32" s="281"/>
      <c r="E32" s="281"/>
      <c r="F32" s="281"/>
      <c r="G32" s="281"/>
      <c r="H32" s="281"/>
      <c r="I32" s="281"/>
      <c r="J32" s="281"/>
      <c r="K32" s="284"/>
      <c r="L32" s="284"/>
      <c r="M32" s="284"/>
      <c r="N32" s="284"/>
      <c r="O32" s="284"/>
      <c r="P32" s="276">
        <v>11.1</v>
      </c>
      <c r="Q32" s="277"/>
      <c r="R32" s="277"/>
      <c r="S32" s="277">
        <v>14.02</v>
      </c>
      <c r="T32" s="277"/>
      <c r="U32" s="277"/>
      <c r="V32" s="278">
        <v>16.8</v>
      </c>
      <c r="W32" s="284"/>
      <c r="X32" s="284"/>
      <c r="Y32" s="12"/>
      <c r="Z32" s="54"/>
      <c r="AB32" s="285"/>
      <c r="AC32" s="285"/>
      <c r="AD32" s="285"/>
      <c r="AE32" s="285"/>
      <c r="AF32" s="285"/>
      <c r="AG32" s="285"/>
      <c r="AH32" s="285"/>
      <c r="AI32" s="285"/>
      <c r="AJ32" s="285"/>
    </row>
    <row r="33" spans="1:36" ht="24.95" customHeight="1" x14ac:dyDescent="0.25">
      <c r="A33" s="54"/>
      <c r="B33" s="292"/>
      <c r="C33" s="280"/>
      <c r="D33" s="281"/>
      <c r="E33" s="281"/>
      <c r="F33" s="281"/>
      <c r="G33" s="281"/>
      <c r="H33" s="281"/>
      <c r="I33" s="281"/>
      <c r="J33" s="281"/>
      <c r="K33" s="284"/>
      <c r="L33" s="284"/>
      <c r="M33" s="284"/>
      <c r="N33" s="284"/>
      <c r="O33" s="284"/>
      <c r="P33" s="608"/>
      <c r="Q33" s="608"/>
      <c r="R33" s="608"/>
      <c r="S33" s="608"/>
      <c r="T33" s="608"/>
      <c r="U33" s="608"/>
      <c r="V33" s="608"/>
      <c r="W33" s="284"/>
      <c r="X33" s="284"/>
      <c r="Y33" s="12"/>
      <c r="Z33" s="54"/>
      <c r="AB33" s="285"/>
      <c r="AC33" s="285"/>
      <c r="AD33" s="285"/>
      <c r="AE33" s="285"/>
      <c r="AF33" s="285"/>
      <c r="AG33" s="285"/>
      <c r="AH33" s="285"/>
      <c r="AI33" s="285"/>
      <c r="AJ33" s="285"/>
    </row>
    <row r="34" spans="1:36" ht="24.95" customHeight="1" x14ac:dyDescent="0.25">
      <c r="B34" s="605" t="s">
        <v>85</v>
      </c>
      <c r="C34" s="605"/>
      <c r="D34" s="605"/>
      <c r="E34" s="605"/>
      <c r="F34" s="605"/>
      <c r="G34" s="605"/>
      <c r="H34" s="605"/>
      <c r="I34" s="605"/>
      <c r="J34" s="605"/>
      <c r="K34" s="605"/>
      <c r="L34" s="605"/>
      <c r="M34" s="605"/>
      <c r="N34" s="605"/>
      <c r="O34" s="605"/>
      <c r="P34" s="605"/>
      <c r="Q34" s="605"/>
      <c r="R34" s="605"/>
      <c r="S34" s="605"/>
      <c r="T34" s="605"/>
      <c r="U34" s="605"/>
      <c r="V34" s="605"/>
      <c r="W34" s="605"/>
      <c r="X34" s="605"/>
      <c r="Y34" s="605"/>
      <c r="AB34" s="254"/>
      <c r="AC34" s="254"/>
      <c r="AD34" s="286"/>
      <c r="AE34" s="287"/>
      <c r="AF34" s="254"/>
      <c r="AG34" s="254"/>
      <c r="AH34" s="254"/>
      <c r="AI34" s="254"/>
      <c r="AJ34" s="254"/>
    </row>
    <row r="35" spans="1:36" ht="24.95" customHeight="1" x14ac:dyDescent="0.25">
      <c r="B35" s="609"/>
      <c r="C35" s="609"/>
      <c r="D35" s="609"/>
      <c r="E35" s="609"/>
      <c r="F35" s="609"/>
      <c r="G35" s="609"/>
      <c r="H35" s="609"/>
      <c r="I35" s="609"/>
      <c r="J35" s="609"/>
      <c r="K35" s="609"/>
      <c r="L35" s="609"/>
      <c r="M35" s="609"/>
      <c r="N35" s="609"/>
      <c r="O35" s="609"/>
      <c r="P35" s="609"/>
      <c r="Q35" s="609"/>
      <c r="R35" s="609"/>
      <c r="S35" s="609"/>
      <c r="T35" s="609"/>
      <c r="U35" s="609"/>
      <c r="V35" s="609"/>
      <c r="W35" s="609"/>
      <c r="X35" s="609"/>
      <c r="Y35" s="609"/>
      <c r="AB35" s="254"/>
      <c r="AC35" s="254"/>
      <c r="AD35" s="254"/>
      <c r="AE35" s="254"/>
      <c r="AF35" s="254"/>
      <c r="AG35" s="254"/>
      <c r="AH35" s="254"/>
      <c r="AI35" s="254"/>
      <c r="AJ35" s="254"/>
    </row>
    <row r="36" spans="1:36" ht="24.95" customHeight="1" x14ac:dyDescent="0.25">
      <c r="B36" s="606" t="s">
        <v>86</v>
      </c>
      <c r="C36" s="606"/>
      <c r="D36" s="606"/>
      <c r="E36" s="606"/>
      <c r="F36" s="606"/>
      <c r="G36" s="606"/>
      <c r="H36" s="606"/>
      <c r="I36" s="606"/>
      <c r="J36" s="606"/>
      <c r="K36" s="606"/>
      <c r="L36" s="606"/>
      <c r="M36" s="606"/>
      <c r="N36" s="606"/>
      <c r="O36" s="606"/>
      <c r="P36" s="606"/>
      <c r="Q36" s="606"/>
      <c r="R36" s="606"/>
      <c r="S36" s="606"/>
      <c r="T36" s="606"/>
      <c r="U36" s="606"/>
      <c r="V36" s="606"/>
      <c r="W36" s="606"/>
      <c r="X36" s="606"/>
      <c r="Y36" s="606"/>
      <c r="AB36" s="254"/>
      <c r="AC36" s="254"/>
      <c r="AD36" s="286"/>
      <c r="AE36" s="254"/>
      <c r="AF36" s="254"/>
      <c r="AG36" s="254"/>
      <c r="AH36" s="254"/>
      <c r="AI36" s="254"/>
      <c r="AJ36" s="254"/>
    </row>
    <row r="37" spans="1:36" ht="24.95" customHeight="1" x14ac:dyDescent="0.25">
      <c r="B37" s="607"/>
      <c r="C37" s="607"/>
      <c r="D37" s="607"/>
      <c r="E37" s="607"/>
      <c r="F37" s="607"/>
      <c r="G37" s="607"/>
      <c r="H37" s="607"/>
      <c r="I37" s="607"/>
      <c r="J37" s="607"/>
      <c r="K37" s="607"/>
      <c r="L37" s="607"/>
      <c r="M37" s="607"/>
      <c r="N37" s="607"/>
      <c r="O37" s="607"/>
      <c r="P37" s="607"/>
      <c r="Q37" s="607"/>
      <c r="R37" s="607"/>
      <c r="S37" s="607"/>
      <c r="T37" s="607"/>
      <c r="U37" s="607"/>
      <c r="V37" s="607"/>
      <c r="W37" s="607"/>
      <c r="X37" s="607"/>
      <c r="Y37" s="607"/>
      <c r="AB37" s="254"/>
      <c r="AC37" s="254"/>
      <c r="AD37" s="254"/>
      <c r="AE37" s="254"/>
      <c r="AF37" s="254"/>
      <c r="AG37" s="254"/>
      <c r="AH37" s="254"/>
      <c r="AI37" s="254"/>
      <c r="AJ37" s="254"/>
    </row>
    <row r="38" spans="1:36" ht="24.95" customHeight="1" x14ac:dyDescent="0.25">
      <c r="B38" s="293"/>
      <c r="C38" s="293"/>
      <c r="D38" s="293"/>
      <c r="E38" s="293"/>
      <c r="F38" s="293"/>
      <c r="G38" s="293"/>
      <c r="H38" s="293"/>
      <c r="I38" s="293"/>
      <c r="J38" s="293"/>
      <c r="K38" s="293"/>
      <c r="L38" s="293"/>
      <c r="M38" s="293"/>
      <c r="N38" s="293"/>
      <c r="O38" s="293"/>
      <c r="P38" s="293"/>
      <c r="Q38" s="293"/>
      <c r="R38" s="293"/>
      <c r="S38" s="293"/>
      <c r="T38" s="293"/>
      <c r="U38" s="293"/>
      <c r="V38" s="293"/>
      <c r="W38" s="293"/>
      <c r="X38" s="293"/>
      <c r="Y38" s="293"/>
    </row>
    <row r="39" spans="1:36" ht="24.95" customHeight="1" x14ac:dyDescent="0.25">
      <c r="A39" s="54"/>
      <c r="B39" s="292" t="s">
        <v>88</v>
      </c>
      <c r="C39" s="288"/>
      <c r="D39" s="288"/>
      <c r="E39" s="288"/>
      <c r="F39" s="288"/>
      <c r="G39" s="288"/>
      <c r="H39" s="288"/>
      <c r="I39" s="288"/>
      <c r="J39" s="280"/>
      <c r="K39" s="280"/>
      <c r="L39" s="280"/>
      <c r="M39" s="289"/>
      <c r="N39" s="289"/>
      <c r="O39" s="289"/>
      <c r="P39" s="290"/>
      <c r="Q39" s="290"/>
      <c r="R39" s="290"/>
      <c r="S39" s="290"/>
      <c r="T39" s="290"/>
      <c r="U39" s="290"/>
      <c r="V39" s="290"/>
      <c r="W39" s="290"/>
      <c r="X39" s="290"/>
      <c r="Y39" s="290"/>
      <c r="Z39" s="54"/>
    </row>
    <row r="40" spans="1:36" ht="24.95" customHeight="1" x14ac:dyDescent="0.25">
      <c r="A40" s="54"/>
      <c r="B40" s="292" t="s">
        <v>89</v>
      </c>
      <c r="C40" s="280"/>
      <c r="D40" s="281"/>
      <c r="E40" s="281"/>
      <c r="F40" s="281"/>
      <c r="G40" s="281"/>
      <c r="H40" s="281"/>
      <c r="I40" s="281"/>
      <c r="J40" s="281"/>
      <c r="K40" s="284"/>
      <c r="L40" s="284"/>
      <c r="M40" s="284"/>
      <c r="N40" s="284"/>
      <c r="O40" s="284"/>
      <c r="P40" s="284"/>
      <c r="Q40" s="284"/>
      <c r="R40" s="284"/>
      <c r="S40" s="284"/>
      <c r="T40" s="284"/>
      <c r="U40" s="284"/>
      <c r="V40" s="284"/>
      <c r="W40" s="284"/>
      <c r="X40" s="284"/>
      <c r="Y40" s="12"/>
      <c r="Z40" s="54"/>
      <c r="AB40" s="285"/>
      <c r="AC40" s="285"/>
      <c r="AD40" s="285"/>
      <c r="AE40" s="285"/>
      <c r="AF40" s="285"/>
      <c r="AG40" s="285"/>
      <c r="AH40" s="285"/>
      <c r="AI40" s="285"/>
      <c r="AJ40" s="285"/>
    </row>
    <row r="41" spans="1:36" ht="24.95" customHeight="1" x14ac:dyDescent="0.25">
      <c r="A41" s="54"/>
      <c r="B41" s="292" t="s">
        <v>90</v>
      </c>
      <c r="C41" s="280"/>
      <c r="D41" s="281"/>
      <c r="E41" s="281"/>
      <c r="F41" s="281"/>
      <c r="G41" s="281"/>
      <c r="H41" s="281"/>
      <c r="I41" s="281"/>
      <c r="J41" s="281"/>
      <c r="K41" s="284"/>
      <c r="L41" s="284"/>
      <c r="M41" s="284"/>
      <c r="N41" s="284"/>
      <c r="O41" s="284"/>
      <c r="P41" s="284"/>
      <c r="Q41" s="284"/>
      <c r="R41" s="284"/>
      <c r="S41" s="284"/>
      <c r="T41" s="284"/>
      <c r="U41" s="284"/>
      <c r="V41" s="284"/>
      <c r="W41" s="284"/>
      <c r="X41" s="284"/>
      <c r="Y41" s="12"/>
      <c r="Z41" s="54"/>
      <c r="AB41" s="285"/>
      <c r="AC41" s="285"/>
      <c r="AD41" s="285"/>
      <c r="AE41" s="285"/>
      <c r="AF41" s="285"/>
      <c r="AG41" s="285"/>
      <c r="AH41" s="285"/>
      <c r="AI41" s="285"/>
      <c r="AJ41" s="285"/>
    </row>
    <row r="42" spans="1:36" ht="24.95" customHeight="1" x14ac:dyDescent="0.25">
      <c r="A42" s="54"/>
      <c r="B42" s="292" t="s">
        <v>91</v>
      </c>
      <c r="C42" s="288"/>
      <c r="D42" s="288"/>
      <c r="E42" s="288"/>
      <c r="F42" s="288"/>
      <c r="G42" s="288"/>
      <c r="H42" s="288"/>
      <c r="I42" s="288"/>
      <c r="J42" s="280"/>
      <c r="K42" s="280"/>
      <c r="L42" s="280"/>
      <c r="M42" s="289"/>
      <c r="N42" s="289"/>
      <c r="O42" s="289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54"/>
    </row>
    <row r="43" spans="1:36" ht="24.95" customHeight="1" x14ac:dyDescent="0.25">
      <c r="A43" s="54"/>
      <c r="B43" s="292" t="s">
        <v>92</v>
      </c>
      <c r="C43" s="280"/>
      <c r="D43" s="281"/>
      <c r="E43" s="281"/>
      <c r="F43" s="281"/>
      <c r="G43" s="281"/>
      <c r="H43" s="281"/>
      <c r="I43" s="281"/>
      <c r="J43" s="281"/>
      <c r="K43" s="284"/>
      <c r="L43" s="284"/>
      <c r="M43" s="284"/>
      <c r="N43" s="284"/>
      <c r="O43" s="284"/>
      <c r="P43" s="284"/>
      <c r="Q43" s="284"/>
      <c r="R43" s="284"/>
      <c r="S43" s="284"/>
      <c r="T43" s="284"/>
      <c r="U43" s="284"/>
      <c r="V43" s="284"/>
      <c r="W43" s="284"/>
      <c r="X43" s="284"/>
      <c r="Y43" s="12"/>
      <c r="Z43" s="54"/>
      <c r="AB43" s="285"/>
      <c r="AC43" s="285"/>
      <c r="AD43" s="285"/>
      <c r="AE43" s="285"/>
      <c r="AF43" s="285"/>
      <c r="AG43" s="285"/>
      <c r="AH43" s="285"/>
      <c r="AI43" s="285"/>
      <c r="AJ43" s="285"/>
    </row>
    <row r="44" spans="1:36" ht="24.95" customHeight="1" x14ac:dyDescent="0.25">
      <c r="A44" s="54"/>
      <c r="B44" s="292" t="s">
        <v>93</v>
      </c>
      <c r="C44" s="280"/>
      <c r="D44" s="281"/>
      <c r="E44" s="281"/>
      <c r="F44" s="281"/>
      <c r="G44" s="281"/>
      <c r="H44" s="281"/>
      <c r="I44" s="281"/>
      <c r="J44" s="281"/>
      <c r="K44" s="284"/>
      <c r="L44" s="284"/>
      <c r="M44" s="284"/>
      <c r="N44" s="284"/>
      <c r="O44" s="284"/>
      <c r="P44" s="284"/>
      <c r="Q44" s="284"/>
      <c r="R44" s="284"/>
      <c r="S44" s="284"/>
      <c r="T44" s="284"/>
      <c r="U44" s="284"/>
      <c r="V44" s="284"/>
      <c r="W44" s="284"/>
      <c r="X44" s="284"/>
      <c r="Y44" s="12"/>
      <c r="Z44" s="54"/>
      <c r="AB44" s="285"/>
      <c r="AC44" s="285"/>
      <c r="AD44" s="285"/>
      <c r="AE44" s="285"/>
      <c r="AF44" s="285"/>
      <c r="AG44" s="285"/>
      <c r="AH44" s="285"/>
      <c r="AI44" s="285"/>
      <c r="AJ44" s="285"/>
    </row>
    <row r="45" spans="1:36" ht="24.95" customHeight="1" x14ac:dyDescent="0.25">
      <c r="A45" s="54"/>
      <c r="B45" s="280"/>
      <c r="C45" s="280"/>
      <c r="D45" s="281"/>
      <c r="E45" s="281"/>
      <c r="F45" s="281"/>
      <c r="G45" s="281"/>
      <c r="H45" s="281"/>
      <c r="I45" s="281"/>
      <c r="J45" s="281"/>
      <c r="K45" s="284"/>
      <c r="L45" s="284"/>
      <c r="M45" s="284"/>
      <c r="N45" s="284"/>
      <c r="O45" s="284"/>
      <c r="P45" s="284"/>
      <c r="Q45" s="284"/>
      <c r="R45" s="284"/>
      <c r="S45" s="284"/>
      <c r="T45" s="284"/>
      <c r="U45" s="284"/>
      <c r="V45" s="284"/>
      <c r="W45" s="284"/>
      <c r="X45" s="284"/>
      <c r="Y45" s="12"/>
      <c r="Z45" s="54"/>
      <c r="AB45" s="285"/>
      <c r="AC45" s="285"/>
      <c r="AD45" s="285"/>
      <c r="AE45" s="285"/>
      <c r="AF45" s="285"/>
      <c r="AG45" s="285"/>
      <c r="AH45" s="285"/>
      <c r="AI45" s="285"/>
      <c r="AJ45" s="285"/>
    </row>
    <row r="46" spans="1:36" s="54" customFormat="1" ht="24.95" customHeight="1" x14ac:dyDescent="0.25">
      <c r="B46" s="505" t="s">
        <v>42</v>
      </c>
      <c r="C46" s="505"/>
      <c r="D46" s="505"/>
      <c r="E46" s="505"/>
      <c r="F46" s="505"/>
      <c r="G46" s="505"/>
      <c r="H46" s="505"/>
      <c r="I46" s="505"/>
      <c r="J46" s="505"/>
      <c r="K46" s="505"/>
      <c r="L46" s="505"/>
      <c r="M46" s="505"/>
      <c r="N46" s="505"/>
      <c r="O46" s="505"/>
      <c r="P46" s="505"/>
      <c r="Q46" s="505"/>
      <c r="R46" s="505"/>
      <c r="S46" s="505"/>
      <c r="T46" s="505"/>
      <c r="U46" s="505"/>
      <c r="V46" s="505"/>
      <c r="W46" s="505"/>
      <c r="X46" s="505"/>
      <c r="Y46" s="505"/>
      <c r="Z46" s="295"/>
      <c r="AB46" s="291"/>
      <c r="AC46" s="291"/>
      <c r="AD46" s="291"/>
      <c r="AE46" s="291"/>
      <c r="AF46" s="291"/>
      <c r="AG46" s="291"/>
      <c r="AH46" s="291"/>
      <c r="AI46" s="291"/>
      <c r="AJ46" s="291"/>
    </row>
    <row r="47" spans="1:36" s="54" customFormat="1" ht="24.95" customHeight="1" x14ac:dyDescent="0.25">
      <c r="B47" s="607" t="str">
        <f>"Declaro para os devidos fins que, conforme legislação tributária do município de "&amp;G14&amp;", a base de cálculo do ISS para "&amp;G15&amp;", é de "&amp;(G16*100)&amp;"%, com a respectiva alíquota de "&amp;ROUND(K16*100,2)&amp;"% sobre o valor da mão de  obra."</f>
        <v>Declaro para os devidos fins que, conforme legislação tributária do município de TERESINA - PI, a base de cálculo do ISS para Construção de Edifícios e Reformas (Quadras, unidades habitacionais, escolas, restaurantes, etc), é de 60%, com a respectiva alíquota de 3% sobre o valor da mão de  obra.</v>
      </c>
      <c r="C47" s="607"/>
      <c r="D47" s="607"/>
      <c r="E47" s="607"/>
      <c r="F47" s="607"/>
      <c r="G47" s="607"/>
      <c r="H47" s="607"/>
      <c r="I47" s="607"/>
      <c r="J47" s="607"/>
      <c r="K47" s="607"/>
      <c r="L47" s="607"/>
      <c r="M47" s="607"/>
      <c r="N47" s="607"/>
      <c r="O47" s="607"/>
      <c r="P47" s="607"/>
      <c r="Q47" s="607"/>
      <c r="R47" s="607"/>
      <c r="S47" s="607"/>
      <c r="T47" s="607"/>
      <c r="U47" s="607"/>
      <c r="V47" s="607"/>
      <c r="W47" s="607"/>
      <c r="X47" s="607"/>
      <c r="Y47" s="607"/>
      <c r="Z47" s="295"/>
      <c r="AB47" s="291"/>
      <c r="AC47" s="291"/>
      <c r="AD47" s="291"/>
      <c r="AE47" s="291"/>
      <c r="AF47" s="291"/>
      <c r="AG47" s="291"/>
      <c r="AH47" s="291"/>
      <c r="AI47" s="291"/>
      <c r="AJ47" s="291"/>
    </row>
    <row r="48" spans="1:36" s="54" customFormat="1" ht="24.95" customHeight="1" x14ac:dyDescent="0.25">
      <c r="B48" s="607"/>
      <c r="C48" s="607"/>
      <c r="D48" s="607"/>
      <c r="E48" s="607"/>
      <c r="F48" s="607"/>
      <c r="G48" s="607"/>
      <c r="H48" s="607"/>
      <c r="I48" s="607"/>
      <c r="J48" s="607"/>
      <c r="K48" s="607"/>
      <c r="L48" s="607"/>
      <c r="M48" s="607"/>
      <c r="N48" s="607"/>
      <c r="O48" s="607"/>
      <c r="P48" s="607"/>
      <c r="Q48" s="607"/>
      <c r="R48" s="607"/>
      <c r="S48" s="607"/>
      <c r="T48" s="607"/>
      <c r="U48" s="607"/>
      <c r="V48" s="607"/>
      <c r="W48" s="607"/>
      <c r="X48" s="607"/>
      <c r="Y48" s="607"/>
      <c r="Z48" s="295"/>
      <c r="AB48" s="291"/>
      <c r="AC48" s="291"/>
      <c r="AD48" s="291"/>
      <c r="AE48" s="291"/>
      <c r="AF48" s="291"/>
      <c r="AG48" s="291"/>
      <c r="AH48" s="291"/>
      <c r="AI48" s="291"/>
      <c r="AJ48" s="291"/>
    </row>
    <row r="49" spans="2:36" s="54" customFormat="1" ht="24.95" customHeight="1" x14ac:dyDescent="0.25">
      <c r="B49" s="607"/>
      <c r="C49" s="607"/>
      <c r="D49" s="607"/>
      <c r="E49" s="607"/>
      <c r="F49" s="607"/>
      <c r="G49" s="607"/>
      <c r="H49" s="607"/>
      <c r="I49" s="607"/>
      <c r="J49" s="607"/>
      <c r="K49" s="607"/>
      <c r="L49" s="607"/>
      <c r="M49" s="607"/>
      <c r="N49" s="607"/>
      <c r="O49" s="607"/>
      <c r="P49" s="607"/>
      <c r="Q49" s="607"/>
      <c r="R49" s="607"/>
      <c r="S49" s="607"/>
      <c r="T49" s="607"/>
      <c r="U49" s="607"/>
      <c r="V49" s="607"/>
      <c r="W49" s="607"/>
      <c r="X49" s="607"/>
      <c r="Y49" s="607"/>
      <c r="Z49" s="295"/>
      <c r="AB49" s="291"/>
      <c r="AC49" s="291"/>
      <c r="AD49" s="291"/>
      <c r="AE49" s="291"/>
      <c r="AF49" s="291"/>
      <c r="AG49" s="291"/>
      <c r="AH49" s="291"/>
      <c r="AI49" s="291"/>
      <c r="AJ49" s="291"/>
    </row>
    <row r="50" spans="2:36" s="54" customFormat="1" ht="12.75" customHeight="1" x14ac:dyDescent="0.25">
      <c r="B50" s="290"/>
      <c r="C50" s="290"/>
      <c r="D50" s="290"/>
      <c r="E50" s="290"/>
      <c r="F50" s="290"/>
      <c r="G50" s="290"/>
      <c r="H50" s="290"/>
      <c r="I50" s="290"/>
      <c r="J50" s="290"/>
      <c r="K50" s="290"/>
      <c r="L50" s="290"/>
      <c r="M50" s="290"/>
      <c r="N50" s="290"/>
      <c r="O50" s="290"/>
      <c r="P50" s="290"/>
      <c r="Q50" s="290"/>
      <c r="R50" s="290"/>
      <c r="S50" s="290"/>
      <c r="T50" s="290"/>
      <c r="U50" s="290"/>
      <c r="V50" s="290"/>
      <c r="W50" s="290"/>
      <c r="X50" s="290"/>
      <c r="Y50" s="290"/>
      <c r="Z50" s="295"/>
      <c r="AB50" s="291"/>
      <c r="AC50" s="291"/>
      <c r="AD50" s="291"/>
      <c r="AE50" s="291"/>
      <c r="AF50" s="291"/>
      <c r="AG50" s="291"/>
      <c r="AH50" s="291"/>
      <c r="AI50" s="291"/>
      <c r="AJ50" s="291"/>
    </row>
    <row r="51" spans="2:36" s="54" customFormat="1" x14ac:dyDescent="0.25">
      <c r="B51" s="290"/>
      <c r="C51" s="290"/>
      <c r="D51" s="290"/>
      <c r="E51" s="290"/>
      <c r="F51" s="290"/>
      <c r="G51" s="290"/>
      <c r="H51" s="290"/>
      <c r="I51" s="290"/>
      <c r="J51" s="290"/>
      <c r="K51" s="290"/>
      <c r="L51" s="290"/>
      <c r="M51" s="290"/>
      <c r="N51" s="290"/>
      <c r="O51" s="290"/>
      <c r="P51" s="290"/>
      <c r="Q51" s="290"/>
      <c r="R51" s="290"/>
      <c r="S51" s="290"/>
      <c r="T51" s="290"/>
      <c r="U51" s="290"/>
      <c r="V51" s="290"/>
      <c r="W51" s="290"/>
      <c r="X51" s="290"/>
      <c r="Y51" s="290"/>
      <c r="Z51" s="295"/>
      <c r="AB51" s="291"/>
      <c r="AC51" s="291"/>
      <c r="AD51" s="291"/>
      <c r="AE51" s="291"/>
      <c r="AF51" s="291"/>
      <c r="AG51" s="291"/>
      <c r="AH51" s="291"/>
      <c r="AI51" s="291"/>
      <c r="AJ51" s="291"/>
    </row>
    <row r="52" spans="2:36" s="54" customFormat="1" x14ac:dyDescent="0.25">
      <c r="B52" s="290"/>
      <c r="C52" s="290"/>
      <c r="D52" s="290"/>
      <c r="E52" s="290"/>
      <c r="F52" s="290"/>
      <c r="G52" s="290"/>
      <c r="H52" s="290"/>
      <c r="I52" s="290"/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5"/>
      <c r="AB52" s="291"/>
      <c r="AC52" s="291"/>
      <c r="AD52" s="291"/>
      <c r="AE52" s="291"/>
      <c r="AF52" s="291"/>
      <c r="AG52" s="291"/>
      <c r="AH52" s="291"/>
      <c r="AI52" s="291"/>
      <c r="AJ52" s="291"/>
    </row>
    <row r="53" spans="2:36" s="54" customFormat="1" x14ac:dyDescent="0.25">
      <c r="B53" s="290"/>
      <c r="C53" s="290"/>
      <c r="D53" s="290"/>
      <c r="E53" s="290"/>
      <c r="F53" s="290"/>
      <c r="G53" s="290"/>
      <c r="H53" s="290"/>
      <c r="I53" s="290"/>
      <c r="J53" s="290"/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  <c r="W53" s="290"/>
      <c r="X53" s="290"/>
      <c r="Y53" s="290"/>
      <c r="Z53" s="295"/>
      <c r="AB53" s="291"/>
      <c r="AC53" s="291"/>
      <c r="AD53" s="291"/>
      <c r="AE53" s="291"/>
      <c r="AF53" s="291"/>
      <c r="AG53" s="291"/>
      <c r="AH53" s="291"/>
      <c r="AI53" s="291"/>
      <c r="AJ53" s="291"/>
    </row>
    <row r="54" spans="2:36" s="54" customFormat="1" x14ac:dyDescent="0.25">
      <c r="B54" s="290"/>
      <c r="C54" s="290"/>
      <c r="D54" s="290"/>
      <c r="E54" s="290"/>
      <c r="F54" s="290"/>
      <c r="G54" s="290"/>
      <c r="H54" s="290"/>
      <c r="I54" s="290"/>
      <c r="J54" s="290"/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5"/>
      <c r="AB54" s="291"/>
      <c r="AC54" s="291"/>
      <c r="AD54" s="291"/>
      <c r="AE54" s="291"/>
      <c r="AF54" s="291"/>
      <c r="AG54" s="291"/>
      <c r="AH54" s="291"/>
      <c r="AI54" s="291"/>
      <c r="AJ54" s="291"/>
    </row>
    <row r="55" spans="2:36" s="54" customFormat="1" x14ac:dyDescent="0.25">
      <c r="B55" s="290"/>
      <c r="C55" s="290"/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5"/>
      <c r="AB55" s="291"/>
      <c r="AC55" s="291"/>
      <c r="AD55" s="291"/>
      <c r="AE55" s="291"/>
      <c r="AF55" s="291"/>
      <c r="AG55" s="291"/>
      <c r="AH55" s="291"/>
      <c r="AI55" s="291"/>
      <c r="AJ55" s="291"/>
    </row>
    <row r="56" spans="2:36" s="54" customFormat="1" x14ac:dyDescent="0.25">
      <c r="B56" s="290"/>
      <c r="C56" s="290"/>
      <c r="D56" s="290"/>
      <c r="E56" s="290"/>
      <c r="F56" s="290"/>
      <c r="G56" s="290"/>
      <c r="H56" s="290"/>
      <c r="I56" s="290"/>
      <c r="J56" s="290"/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5"/>
      <c r="AB56" s="291"/>
      <c r="AC56" s="291"/>
      <c r="AD56" s="291"/>
      <c r="AE56" s="291"/>
      <c r="AF56" s="291"/>
      <c r="AG56" s="291"/>
      <c r="AH56" s="291"/>
      <c r="AI56" s="291"/>
      <c r="AJ56" s="291"/>
    </row>
    <row r="57" spans="2:36" s="54" customFormat="1" x14ac:dyDescent="0.25">
      <c r="B57" s="290"/>
      <c r="C57" s="290"/>
      <c r="D57" s="290"/>
      <c r="E57" s="290"/>
      <c r="F57" s="290"/>
      <c r="G57" s="290"/>
      <c r="H57" s="290"/>
      <c r="I57" s="290"/>
      <c r="J57" s="290"/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5"/>
      <c r="AB57" s="291"/>
      <c r="AC57" s="291"/>
      <c r="AD57" s="291"/>
      <c r="AE57" s="291"/>
      <c r="AF57" s="291"/>
      <c r="AG57" s="291"/>
      <c r="AH57" s="291"/>
      <c r="AI57" s="291"/>
      <c r="AJ57" s="291"/>
    </row>
    <row r="58" spans="2:36" s="54" customFormat="1" x14ac:dyDescent="0.25">
      <c r="B58" s="290"/>
      <c r="C58" s="290"/>
      <c r="D58" s="290"/>
      <c r="E58" s="290"/>
      <c r="F58" s="290"/>
      <c r="G58" s="290"/>
      <c r="H58" s="290"/>
      <c r="I58" s="290"/>
      <c r="J58" s="290"/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5"/>
      <c r="AB58" s="291"/>
      <c r="AC58" s="291"/>
      <c r="AD58" s="291"/>
      <c r="AE58" s="291"/>
      <c r="AF58" s="291"/>
      <c r="AG58" s="291"/>
      <c r="AH58" s="291"/>
      <c r="AI58" s="291"/>
      <c r="AJ58" s="291"/>
    </row>
    <row r="59" spans="2:36" s="54" customFormat="1" x14ac:dyDescent="0.25">
      <c r="B59" s="290"/>
      <c r="C59" s="290"/>
      <c r="D59" s="290"/>
      <c r="E59" s="290"/>
      <c r="F59" s="290"/>
      <c r="G59" s="290"/>
      <c r="H59" s="290"/>
      <c r="I59" s="290"/>
      <c r="J59" s="290"/>
      <c r="K59" s="290"/>
      <c r="L59" s="290"/>
      <c r="M59" s="290"/>
      <c r="N59" s="290"/>
      <c r="O59" s="290"/>
      <c r="P59" s="290"/>
      <c r="Q59" s="290"/>
      <c r="R59" s="290"/>
      <c r="S59" s="290"/>
      <c r="T59" s="290"/>
      <c r="U59" s="290"/>
      <c r="V59" s="290"/>
      <c r="W59" s="290"/>
      <c r="X59" s="290"/>
      <c r="Y59" s="290"/>
      <c r="Z59" s="295"/>
      <c r="AB59" s="291"/>
      <c r="AC59" s="291"/>
      <c r="AD59" s="291"/>
      <c r="AE59" s="291"/>
      <c r="AF59" s="291"/>
      <c r="AG59" s="291"/>
      <c r="AH59" s="291"/>
      <c r="AI59" s="291"/>
      <c r="AJ59" s="291"/>
    </row>
    <row r="60" spans="2:36" s="54" customFormat="1" x14ac:dyDescent="0.25">
      <c r="B60" s="290"/>
      <c r="C60" s="290"/>
      <c r="D60" s="290"/>
      <c r="E60" s="290"/>
      <c r="F60" s="290"/>
      <c r="G60" s="290"/>
      <c r="H60" s="290"/>
      <c r="I60" s="290"/>
      <c r="J60" s="290"/>
      <c r="K60" s="290"/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5"/>
      <c r="AB60" s="291"/>
      <c r="AC60" s="291"/>
      <c r="AD60" s="291"/>
      <c r="AE60" s="291"/>
      <c r="AF60" s="291"/>
      <c r="AG60" s="291"/>
      <c r="AH60" s="291"/>
      <c r="AI60" s="291"/>
      <c r="AJ60" s="291"/>
    </row>
    <row r="61" spans="2:36" s="54" customFormat="1" x14ac:dyDescent="0.25">
      <c r="B61" s="290"/>
      <c r="C61" s="290"/>
      <c r="D61" s="290"/>
      <c r="E61" s="290"/>
      <c r="F61" s="290"/>
      <c r="G61" s="290"/>
      <c r="H61" s="290"/>
      <c r="I61" s="290"/>
      <c r="J61" s="290"/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5"/>
      <c r="AB61" s="291"/>
      <c r="AC61" s="291"/>
      <c r="AD61" s="291"/>
      <c r="AE61" s="291"/>
      <c r="AF61" s="291"/>
      <c r="AG61" s="291"/>
      <c r="AH61" s="291"/>
      <c r="AI61" s="291"/>
      <c r="AJ61" s="291"/>
    </row>
    <row r="62" spans="2:36" s="54" customFormat="1" x14ac:dyDescent="0.25">
      <c r="B62" s="290"/>
      <c r="C62" s="290"/>
      <c r="D62" s="290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0"/>
      <c r="Q62" s="290"/>
      <c r="R62" s="290"/>
      <c r="S62" s="290"/>
      <c r="T62" s="290"/>
      <c r="U62" s="290"/>
      <c r="V62" s="290"/>
      <c r="W62" s="290"/>
      <c r="X62" s="290"/>
      <c r="Y62" s="290"/>
      <c r="Z62" s="295"/>
      <c r="AB62" s="291"/>
      <c r="AC62" s="291"/>
      <c r="AD62" s="291"/>
      <c r="AE62" s="291"/>
      <c r="AF62" s="291"/>
      <c r="AG62" s="291"/>
      <c r="AH62" s="291"/>
      <c r="AI62" s="291"/>
      <c r="AJ62" s="291"/>
    </row>
    <row r="63" spans="2:36" s="54" customFormat="1" x14ac:dyDescent="0.25">
      <c r="B63" s="290"/>
      <c r="C63" s="290"/>
      <c r="D63" s="290"/>
      <c r="E63" s="290"/>
      <c r="F63" s="290"/>
      <c r="G63" s="290"/>
      <c r="H63" s="290"/>
      <c r="I63" s="290"/>
      <c r="J63" s="290"/>
      <c r="K63" s="290"/>
      <c r="L63" s="290"/>
      <c r="M63" s="290"/>
      <c r="N63" s="290"/>
      <c r="O63" s="290"/>
      <c r="P63" s="290"/>
      <c r="Q63" s="290"/>
      <c r="R63" s="290"/>
      <c r="S63" s="290"/>
      <c r="T63" s="290"/>
      <c r="U63" s="290"/>
      <c r="V63" s="290"/>
      <c r="W63" s="290"/>
      <c r="X63" s="290"/>
      <c r="Y63" s="290"/>
      <c r="Z63" s="295"/>
      <c r="AB63" s="291"/>
      <c r="AC63" s="291"/>
      <c r="AD63" s="291"/>
      <c r="AE63" s="291"/>
      <c r="AF63" s="291"/>
      <c r="AG63" s="291"/>
      <c r="AH63" s="291"/>
      <c r="AI63" s="291"/>
      <c r="AJ63" s="291"/>
    </row>
    <row r="64" spans="2:36" s="54" customFormat="1" x14ac:dyDescent="0.25">
      <c r="B64" s="290"/>
      <c r="C64" s="290"/>
      <c r="D64" s="290"/>
      <c r="E64" s="290"/>
      <c r="F64" s="290"/>
      <c r="G64" s="290"/>
      <c r="H64" s="290"/>
      <c r="I64" s="290"/>
      <c r="J64" s="290"/>
      <c r="K64" s="290"/>
      <c r="L64" s="290"/>
      <c r="M64" s="290"/>
      <c r="N64" s="290"/>
      <c r="O64" s="290"/>
      <c r="P64" s="290"/>
      <c r="Q64" s="290"/>
      <c r="R64" s="290"/>
      <c r="S64" s="290"/>
      <c r="T64" s="290"/>
      <c r="U64" s="290"/>
      <c r="V64" s="290"/>
      <c r="W64" s="290"/>
      <c r="X64" s="290"/>
      <c r="Y64" s="290"/>
      <c r="Z64" s="295"/>
      <c r="AB64" s="291"/>
      <c r="AC64" s="291"/>
      <c r="AD64" s="291"/>
      <c r="AE64" s="291"/>
      <c r="AF64" s="291"/>
      <c r="AG64" s="291"/>
      <c r="AH64" s="291"/>
      <c r="AI64" s="291"/>
      <c r="AJ64" s="291"/>
    </row>
    <row r="65" spans="2:36" s="54" customFormat="1" x14ac:dyDescent="0.25">
      <c r="B65" s="290"/>
      <c r="C65" s="290"/>
      <c r="D65" s="290"/>
      <c r="E65" s="290"/>
      <c r="F65" s="290"/>
      <c r="G65" s="290"/>
      <c r="H65" s="290"/>
      <c r="I65" s="290"/>
      <c r="J65" s="290"/>
      <c r="K65" s="290"/>
      <c r="L65" s="290"/>
      <c r="M65" s="290"/>
      <c r="N65" s="290"/>
      <c r="O65" s="290"/>
      <c r="P65" s="290"/>
      <c r="Q65" s="290"/>
      <c r="R65" s="290"/>
      <c r="S65" s="290"/>
      <c r="T65" s="290"/>
      <c r="U65" s="290"/>
      <c r="V65" s="290"/>
      <c r="W65" s="290"/>
      <c r="X65" s="290"/>
      <c r="Y65" s="290"/>
      <c r="Z65" s="295"/>
      <c r="AB65" s="291"/>
      <c r="AC65" s="291"/>
      <c r="AD65" s="291"/>
      <c r="AE65" s="291"/>
      <c r="AF65" s="291"/>
      <c r="AG65" s="291"/>
      <c r="AH65" s="291"/>
      <c r="AI65" s="291"/>
      <c r="AJ65" s="291"/>
    </row>
    <row r="66" spans="2:36" s="54" customFormat="1" x14ac:dyDescent="0.25">
      <c r="B66" s="290"/>
      <c r="C66" s="290"/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290"/>
      <c r="T66" s="290"/>
      <c r="U66" s="290"/>
      <c r="V66" s="290"/>
      <c r="W66" s="290"/>
      <c r="X66" s="290"/>
      <c r="Y66" s="290"/>
      <c r="Z66" s="295"/>
      <c r="AB66" s="291"/>
      <c r="AC66" s="291"/>
      <c r="AD66" s="291"/>
      <c r="AE66" s="291"/>
      <c r="AF66" s="291"/>
      <c r="AG66" s="291"/>
      <c r="AH66" s="291"/>
      <c r="AI66" s="291"/>
      <c r="AJ66" s="291"/>
    </row>
    <row r="67" spans="2:36" s="54" customFormat="1" x14ac:dyDescent="0.25">
      <c r="B67" s="290"/>
      <c r="C67" s="290"/>
      <c r="D67" s="290"/>
      <c r="E67" s="290"/>
      <c r="F67" s="290"/>
      <c r="G67" s="290"/>
      <c r="H67" s="290"/>
      <c r="I67" s="290"/>
      <c r="J67" s="290"/>
      <c r="K67" s="290"/>
      <c r="L67" s="290"/>
      <c r="M67" s="290"/>
      <c r="N67" s="290"/>
      <c r="O67" s="290"/>
      <c r="P67" s="290"/>
      <c r="Q67" s="290"/>
      <c r="R67" s="290"/>
      <c r="S67" s="290"/>
      <c r="T67" s="290"/>
      <c r="U67" s="290"/>
      <c r="V67" s="290"/>
      <c r="W67" s="290"/>
      <c r="X67" s="290"/>
      <c r="Y67" s="290"/>
      <c r="Z67" s="295"/>
      <c r="AB67" s="291"/>
      <c r="AC67" s="291"/>
      <c r="AD67" s="291"/>
      <c r="AE67" s="291"/>
      <c r="AF67" s="291"/>
      <c r="AG67" s="291"/>
      <c r="AH67" s="291"/>
      <c r="AI67" s="291"/>
      <c r="AJ67" s="291"/>
    </row>
    <row r="68" spans="2:36" s="54" customFormat="1" x14ac:dyDescent="0.25">
      <c r="B68" s="290"/>
      <c r="C68" s="290"/>
      <c r="D68" s="290"/>
      <c r="E68" s="290"/>
      <c r="F68" s="290"/>
      <c r="G68" s="290"/>
      <c r="H68" s="290"/>
      <c r="I68" s="290"/>
      <c r="J68" s="290"/>
      <c r="K68" s="290"/>
      <c r="L68" s="290"/>
      <c r="M68" s="290"/>
      <c r="N68" s="290"/>
      <c r="O68" s="290"/>
      <c r="P68" s="290"/>
      <c r="Q68" s="290"/>
      <c r="R68" s="290"/>
      <c r="S68" s="290"/>
      <c r="T68" s="290"/>
      <c r="U68" s="290"/>
      <c r="V68" s="290"/>
      <c r="W68" s="290"/>
      <c r="X68" s="290"/>
      <c r="Y68" s="290"/>
      <c r="Z68" s="295"/>
      <c r="AB68" s="291"/>
      <c r="AC68" s="291"/>
      <c r="AD68" s="291"/>
      <c r="AE68" s="291"/>
      <c r="AF68" s="291"/>
      <c r="AG68" s="291"/>
      <c r="AH68" s="291"/>
      <c r="AI68" s="291"/>
      <c r="AJ68" s="291"/>
    </row>
    <row r="69" spans="2:36" s="54" customFormat="1" x14ac:dyDescent="0.25">
      <c r="Z69" s="295"/>
      <c r="AB69" s="291"/>
      <c r="AC69" s="291"/>
      <c r="AD69" s="291"/>
      <c r="AE69" s="291"/>
      <c r="AF69" s="291"/>
      <c r="AG69" s="291"/>
      <c r="AH69" s="291"/>
      <c r="AI69" s="291"/>
      <c r="AJ69" s="291"/>
    </row>
    <row r="70" spans="2:36" s="54" customFormat="1" x14ac:dyDescent="0.25">
      <c r="Z70" s="295"/>
      <c r="AB70" s="291"/>
      <c r="AC70" s="291"/>
      <c r="AD70" s="291"/>
      <c r="AE70" s="291"/>
      <c r="AF70" s="291"/>
      <c r="AG70" s="291"/>
      <c r="AH70" s="291"/>
      <c r="AI70" s="291"/>
      <c r="AJ70" s="291"/>
    </row>
    <row r="71" spans="2:36" s="54" customFormat="1" x14ac:dyDescent="0.25">
      <c r="Z71" s="295"/>
      <c r="AB71" s="291"/>
      <c r="AC71" s="291"/>
      <c r="AD71" s="291"/>
      <c r="AE71" s="291"/>
      <c r="AF71" s="291"/>
      <c r="AG71" s="291"/>
      <c r="AH71" s="291"/>
      <c r="AI71" s="291"/>
      <c r="AJ71" s="291"/>
    </row>
    <row r="72" spans="2:36" s="54" customFormat="1" x14ac:dyDescent="0.25">
      <c r="Z72" s="295"/>
      <c r="AB72" s="291"/>
      <c r="AC72" s="291"/>
      <c r="AD72" s="291"/>
      <c r="AE72" s="291"/>
      <c r="AF72" s="291"/>
      <c r="AG72" s="291"/>
      <c r="AH72" s="291"/>
      <c r="AI72" s="291"/>
      <c r="AJ72" s="291"/>
    </row>
    <row r="73" spans="2:36" s="54" customFormat="1" x14ac:dyDescent="0.25">
      <c r="Z73" s="295"/>
      <c r="AB73" s="291"/>
      <c r="AC73" s="291"/>
      <c r="AD73" s="291"/>
      <c r="AE73" s="291"/>
      <c r="AF73" s="291"/>
      <c r="AG73" s="291"/>
      <c r="AH73" s="291"/>
      <c r="AI73" s="291"/>
      <c r="AJ73" s="291"/>
    </row>
    <row r="74" spans="2:36" s="54" customFormat="1" x14ac:dyDescent="0.25">
      <c r="Z74" s="295"/>
      <c r="AB74" s="291"/>
      <c r="AC74" s="291"/>
      <c r="AD74" s="291"/>
      <c r="AE74" s="291"/>
      <c r="AF74" s="291"/>
      <c r="AG74" s="291"/>
      <c r="AH74" s="291"/>
      <c r="AI74" s="291"/>
      <c r="AJ74" s="291"/>
    </row>
  </sheetData>
  <mergeCells count="31">
    <mergeCell ref="B35:Y35"/>
    <mergeCell ref="B36:Y36"/>
    <mergeCell ref="B37:Y37"/>
    <mergeCell ref="B46:Y46"/>
    <mergeCell ref="B47:Y49"/>
    <mergeCell ref="B34:Y34"/>
    <mergeCell ref="I23:L23"/>
    <mergeCell ref="I24:L24"/>
    <mergeCell ref="I25:L25"/>
    <mergeCell ref="I26:L26"/>
    <mergeCell ref="I27:L27"/>
    <mergeCell ref="I28:L28"/>
    <mergeCell ref="I29:L29"/>
    <mergeCell ref="I30:L30"/>
    <mergeCell ref="I31:L31"/>
    <mergeCell ref="P31:V31"/>
    <mergeCell ref="P33:V33"/>
    <mergeCell ref="I22:L22"/>
    <mergeCell ref="B1:Y6"/>
    <mergeCell ref="B13:F13"/>
    <mergeCell ref="G13:Y13"/>
    <mergeCell ref="B14:F14"/>
    <mergeCell ref="G14:Y14"/>
    <mergeCell ref="B15:F15"/>
    <mergeCell ref="G15:Y15"/>
    <mergeCell ref="B16:F16"/>
    <mergeCell ref="G16:I16"/>
    <mergeCell ref="E20:H21"/>
    <mergeCell ref="I20:L21"/>
    <mergeCell ref="P20:V20"/>
    <mergeCell ref="D11:T11"/>
  </mergeCells>
  <conditionalFormatting sqref="G14:Y15">
    <cfRule type="cellIs" dxfId="14" priority="2" stopIfTrue="1" operator="equal">
      <formula>0</formula>
    </cfRule>
  </conditionalFormatting>
  <conditionalFormatting sqref="I22:I28">
    <cfRule type="cellIs" dxfId="13" priority="1" stopIfTrue="1" operator="equal">
      <formula>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57" orientation="portrait" r:id="rId1"/>
  <headerFooter>
    <oddFooter>&amp;L&amp;"Arial Narrow,Normal"&amp;10&amp;A
&amp;F&amp;R&amp;"Arial Narrow,Normal"&amp;10Página &amp;P de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B1:H102"/>
  <sheetViews>
    <sheetView showGridLines="0" view="pageBreakPreview" topLeftCell="A19" zoomScale="85" zoomScaleNormal="100" zoomScaleSheetLayoutView="85" workbookViewId="0">
      <selection activeCell="N67" sqref="N67"/>
    </sheetView>
  </sheetViews>
  <sheetFormatPr defaultColWidth="9.140625" defaultRowHeight="12.75" x14ac:dyDescent="0.25"/>
  <cols>
    <col min="1" max="1" width="1.5703125" style="109" customWidth="1"/>
    <col min="2" max="2" width="9" style="109" customWidth="1"/>
    <col min="3" max="3" width="91.5703125" style="109" customWidth="1"/>
    <col min="4" max="4" width="11.5703125" style="109" customWidth="1"/>
    <col min="5" max="5" width="14.42578125" style="109" customWidth="1"/>
    <col min="6" max="6" width="11.85546875" style="322" customWidth="1"/>
    <col min="7" max="7" width="11.5703125" style="322" customWidth="1"/>
    <col min="8" max="8" width="1.5703125" style="109" customWidth="1"/>
    <col min="9" max="16384" width="9.140625" style="109"/>
  </cols>
  <sheetData>
    <row r="1" spans="2:8" s="58" customFormat="1" ht="9.9499999999999993" customHeight="1" x14ac:dyDescent="0.25">
      <c r="B1" s="616" t="s">
        <v>340</v>
      </c>
      <c r="C1" s="616"/>
      <c r="D1" s="616"/>
      <c r="E1" s="616"/>
      <c r="F1" s="616"/>
      <c r="G1" s="616"/>
      <c r="H1" s="305"/>
    </row>
    <row r="2" spans="2:8" s="58" customFormat="1" ht="9.9499999999999993" customHeight="1" x14ac:dyDescent="0.25">
      <c r="B2" s="616"/>
      <c r="C2" s="616"/>
      <c r="D2" s="616"/>
      <c r="E2" s="616"/>
      <c r="F2" s="616"/>
      <c r="G2" s="616"/>
      <c r="H2" s="305"/>
    </row>
    <row r="3" spans="2:8" s="58" customFormat="1" ht="9.9499999999999993" customHeight="1" x14ac:dyDescent="0.25">
      <c r="B3" s="616"/>
      <c r="C3" s="616"/>
      <c r="D3" s="616"/>
      <c r="E3" s="616"/>
      <c r="F3" s="616"/>
      <c r="G3" s="616"/>
      <c r="H3" s="305"/>
    </row>
    <row r="4" spans="2:8" s="58" customFormat="1" ht="9.9499999999999993" customHeight="1" x14ac:dyDescent="0.25">
      <c r="B4" s="616"/>
      <c r="C4" s="616"/>
      <c r="D4" s="616"/>
      <c r="E4" s="616"/>
      <c r="F4" s="616"/>
      <c r="G4" s="616"/>
      <c r="H4" s="305"/>
    </row>
    <row r="5" spans="2:8" s="58" customFormat="1" ht="9.9499999999999993" customHeight="1" x14ac:dyDescent="0.25">
      <c r="B5" s="616"/>
      <c r="C5" s="616"/>
      <c r="D5" s="616"/>
      <c r="E5" s="616"/>
      <c r="F5" s="616"/>
      <c r="G5" s="616"/>
      <c r="H5" s="305"/>
    </row>
    <row r="6" spans="2:8" s="58" customFormat="1" ht="9.9499999999999993" customHeight="1" x14ac:dyDescent="0.25">
      <c r="B6" s="616"/>
      <c r="C6" s="616"/>
      <c r="D6" s="616"/>
      <c r="E6" s="616"/>
      <c r="F6" s="616"/>
      <c r="G6" s="616"/>
      <c r="H6" s="305"/>
    </row>
    <row r="7" spans="2:8" s="58" customFormat="1" ht="15" customHeight="1" x14ac:dyDescent="0.25">
      <c r="D7" s="9"/>
      <c r="E7" s="9"/>
      <c r="F7" s="10" t="s">
        <v>51</v>
      </c>
      <c r="G7" s="11" t="str">
        <f>+'CURVA ABC - SERVIÇOS'!G8</f>
        <v>22/11/2021</v>
      </c>
    </row>
    <row r="8" spans="2:8" s="12" customFormat="1" ht="15" customHeight="1" x14ac:dyDescent="0.25">
      <c r="B8" s="8" t="s">
        <v>50</v>
      </c>
      <c r="C8" s="13" t="str">
        <f>'DADOS DA OBRA'!$B$13</f>
        <v>TRIBUNAL REGIONAL ELEITORAL - PIAUÍ</v>
      </c>
      <c r="F8" s="10" t="s">
        <v>52</v>
      </c>
      <c r="G8" s="11">
        <f>+'CURVA ABC - SERVIÇOS'!G9</f>
        <v>44733</v>
      </c>
    </row>
    <row r="9" spans="2:8" s="12" customFormat="1" ht="15" customHeight="1" x14ac:dyDescent="0.25">
      <c r="B9" s="8" t="s">
        <v>69</v>
      </c>
      <c r="C9" s="13" t="str">
        <f>'DADOS DA OBRA'!$B$16</f>
        <v>ADEQUAÇÃO DE INSTALAÇÕES ELÉTRICAS E CABEAMENTO ESTRUTURADO - EDIFÍCIO SEDE</v>
      </c>
      <c r="F9" s="10" t="s">
        <v>71</v>
      </c>
      <c r="G9" s="52">
        <f>+'CURVA ABC - SERVIÇOS'!J8</f>
        <v>1.1186</v>
      </c>
    </row>
    <row r="10" spans="2:8" s="12" customFormat="1" ht="15" customHeight="1" x14ac:dyDescent="0.25">
      <c r="B10" s="8" t="s">
        <v>53</v>
      </c>
      <c r="C10" s="9" t="str">
        <f>+""&amp;'DADOS DA OBRA'!$B$19&amp;", "&amp;'DADOS DA OBRA'!$J$22&amp;", "&amp;'DADOS DA OBRA'!$P$22</f>
        <v>PRAÇA EDGAR NOGUEIRA, TERESINA, PI</v>
      </c>
      <c r="F10" s="10" t="s">
        <v>72</v>
      </c>
      <c r="G10" s="52">
        <f>+'CURVA ABC - SERVIÇOS'!J9</f>
        <v>0.70630000000000004</v>
      </c>
    </row>
    <row r="11" spans="2:8" s="12" customFormat="1" ht="15" customHeight="1" x14ac:dyDescent="0.25">
      <c r="B11" s="8" t="s">
        <v>70</v>
      </c>
      <c r="C11" s="13" t="str">
        <f>+'DADOS DA OBRA'!$B$31</f>
        <v>SINAPI - 04/2022 - PIAUÍ   	SBC - 05/2022 - TSA - Teresina - PI  ORSE - 03/2022 - SERGIPE      ETOP - 03/2022 - Minas Gerais - Central SUDECAP - 02/2022 - MINAS GERAIS    CPOS - 02/2022 - São Paulo AGESUL - 01/2022 - MATO GROSSO DO SUL     GETOP CIVIL - 04/2022 - Goiás EMOP - 04/2022 - RIO DE JANEIRO</v>
      </c>
      <c r="D11" s="10" t="s">
        <v>341</v>
      </c>
      <c r="E11" s="52">
        <f>+'CURVA ABC - SERVIÇOS'!J10</f>
        <v>0.21960000000000002</v>
      </c>
      <c r="F11" s="10" t="s">
        <v>407</v>
      </c>
      <c r="G11" s="52">
        <f>+'CURVA ABC - SERVIÇOS'!J11</f>
        <v>0.1527</v>
      </c>
    </row>
    <row r="12" spans="2:8" s="306" customFormat="1" ht="6.95" customHeight="1" thickBot="1" x14ac:dyDescent="0.3">
      <c r="G12" s="73"/>
      <c r="H12" s="74"/>
    </row>
    <row r="13" spans="2:8" ht="24.95" customHeight="1" x14ac:dyDescent="0.25">
      <c r="B13" s="617" t="s">
        <v>45</v>
      </c>
      <c r="C13" s="618" t="s">
        <v>274</v>
      </c>
      <c r="D13" s="620" t="s">
        <v>342</v>
      </c>
      <c r="E13" s="620"/>
      <c r="F13" s="621" t="s">
        <v>343</v>
      </c>
      <c r="G13" s="622"/>
    </row>
    <row r="14" spans="2:8" ht="24.95" customHeight="1" thickBot="1" x14ac:dyDescent="0.3">
      <c r="B14" s="614"/>
      <c r="C14" s="619"/>
      <c r="D14" s="307" t="s">
        <v>344</v>
      </c>
      <c r="E14" s="307" t="s">
        <v>345</v>
      </c>
      <c r="F14" s="307" t="s">
        <v>344</v>
      </c>
      <c r="G14" s="308" t="s">
        <v>345</v>
      </c>
    </row>
    <row r="15" spans="2:8" ht="24.95" customHeight="1" x14ac:dyDescent="0.25">
      <c r="B15" s="623" t="s">
        <v>346</v>
      </c>
      <c r="C15" s="624"/>
      <c r="D15" s="624"/>
      <c r="E15" s="624"/>
      <c r="F15" s="624"/>
      <c r="G15" s="625"/>
    </row>
    <row r="16" spans="2:8" ht="24.95" customHeight="1" x14ac:dyDescent="0.25">
      <c r="B16" s="309" t="s">
        <v>347</v>
      </c>
      <c r="C16" s="310" t="s">
        <v>348</v>
      </c>
      <c r="D16" s="311">
        <v>0</v>
      </c>
      <c r="E16" s="311">
        <v>0</v>
      </c>
      <c r="F16" s="311">
        <v>0.2</v>
      </c>
      <c r="G16" s="312">
        <v>0.2</v>
      </c>
    </row>
    <row r="17" spans="2:7" ht="24.95" customHeight="1" x14ac:dyDescent="0.25">
      <c r="B17" s="309" t="s">
        <v>349</v>
      </c>
      <c r="C17" s="310" t="s">
        <v>350</v>
      </c>
      <c r="D17" s="311">
        <v>1.4999999999999999E-2</v>
      </c>
      <c r="E17" s="311">
        <v>1.4999999999999999E-2</v>
      </c>
      <c r="F17" s="311">
        <v>1.4999999999999999E-2</v>
      </c>
      <c r="G17" s="312">
        <v>1.4999999999999999E-2</v>
      </c>
    </row>
    <row r="18" spans="2:7" ht="24.95" customHeight="1" x14ac:dyDescent="0.25">
      <c r="B18" s="309" t="s">
        <v>351</v>
      </c>
      <c r="C18" s="310" t="s">
        <v>352</v>
      </c>
      <c r="D18" s="311">
        <v>0.01</v>
      </c>
      <c r="E18" s="311">
        <v>0.01</v>
      </c>
      <c r="F18" s="311">
        <v>0.01</v>
      </c>
      <c r="G18" s="312">
        <v>0.01</v>
      </c>
    </row>
    <row r="19" spans="2:7" ht="24.95" customHeight="1" x14ac:dyDescent="0.25">
      <c r="B19" s="309" t="s">
        <v>353</v>
      </c>
      <c r="C19" s="310" t="s">
        <v>354</v>
      </c>
      <c r="D19" s="311">
        <v>2E-3</v>
      </c>
      <c r="E19" s="311">
        <v>2E-3</v>
      </c>
      <c r="F19" s="311">
        <v>2E-3</v>
      </c>
      <c r="G19" s="312">
        <v>2E-3</v>
      </c>
    </row>
    <row r="20" spans="2:7" ht="24.95" customHeight="1" x14ac:dyDescent="0.25">
      <c r="B20" s="309" t="s">
        <v>355</v>
      </c>
      <c r="C20" s="310" t="s">
        <v>356</v>
      </c>
      <c r="D20" s="311">
        <v>6.0000000000000001E-3</v>
      </c>
      <c r="E20" s="311">
        <v>6.0000000000000001E-3</v>
      </c>
      <c r="F20" s="311">
        <v>6.0000000000000001E-3</v>
      </c>
      <c r="G20" s="312">
        <v>6.0000000000000001E-3</v>
      </c>
    </row>
    <row r="21" spans="2:7" ht="24.95" customHeight="1" x14ac:dyDescent="0.25">
      <c r="B21" s="309" t="s">
        <v>357</v>
      </c>
      <c r="C21" s="310" t="s">
        <v>358</v>
      </c>
      <c r="D21" s="311">
        <v>2.5000000000000001E-2</v>
      </c>
      <c r="E21" s="311">
        <v>2.5000000000000001E-2</v>
      </c>
      <c r="F21" s="311">
        <v>2.5000000000000001E-2</v>
      </c>
      <c r="G21" s="312">
        <v>2.5000000000000001E-2</v>
      </c>
    </row>
    <row r="22" spans="2:7" ht="24.95" customHeight="1" x14ac:dyDescent="0.25">
      <c r="B22" s="309" t="s">
        <v>359</v>
      </c>
      <c r="C22" s="310" t="s">
        <v>360</v>
      </c>
      <c r="D22" s="311">
        <v>0.03</v>
      </c>
      <c r="E22" s="311">
        <v>0.03</v>
      </c>
      <c r="F22" s="311">
        <v>0.03</v>
      </c>
      <c r="G22" s="312">
        <v>0.03</v>
      </c>
    </row>
    <row r="23" spans="2:7" ht="24.95" customHeight="1" x14ac:dyDescent="0.25">
      <c r="B23" s="309" t="s">
        <v>361</v>
      </c>
      <c r="C23" s="310" t="s">
        <v>362</v>
      </c>
      <c r="D23" s="311">
        <v>0.08</v>
      </c>
      <c r="E23" s="311">
        <v>0.08</v>
      </c>
      <c r="F23" s="311">
        <v>0.08</v>
      </c>
      <c r="G23" s="312">
        <v>0.08</v>
      </c>
    </row>
    <row r="24" spans="2:7" ht="24.95" customHeight="1" x14ac:dyDescent="0.25">
      <c r="B24" s="309" t="s">
        <v>363</v>
      </c>
      <c r="C24" s="310" t="s">
        <v>364</v>
      </c>
      <c r="D24" s="311">
        <v>0</v>
      </c>
      <c r="E24" s="311">
        <v>0</v>
      </c>
      <c r="F24" s="311">
        <v>0</v>
      </c>
      <c r="G24" s="312">
        <v>0</v>
      </c>
    </row>
    <row r="25" spans="2:7" ht="24.95" customHeight="1" x14ac:dyDescent="0.25">
      <c r="B25" s="313" t="s">
        <v>293</v>
      </c>
      <c r="C25" s="314" t="s">
        <v>4</v>
      </c>
      <c r="D25" s="315">
        <f>SUM(D16:D24)</f>
        <v>0.16799999999999998</v>
      </c>
      <c r="E25" s="315">
        <f t="shared" ref="E25:G25" si="0">SUM(E16:E24)</f>
        <v>0.16799999999999998</v>
      </c>
      <c r="F25" s="315">
        <f t="shared" si="0"/>
        <v>0.36800000000000005</v>
      </c>
      <c r="G25" s="316">
        <f t="shared" si="0"/>
        <v>0.36800000000000005</v>
      </c>
    </row>
    <row r="26" spans="2:7" ht="24.95" customHeight="1" x14ac:dyDescent="0.25">
      <c r="B26" s="611" t="s">
        <v>365</v>
      </c>
      <c r="C26" s="612"/>
      <c r="D26" s="612"/>
      <c r="E26" s="612"/>
      <c r="F26" s="612"/>
      <c r="G26" s="613"/>
    </row>
    <row r="27" spans="2:7" ht="24.95" customHeight="1" x14ac:dyDescent="0.25">
      <c r="B27" s="309" t="s">
        <v>366</v>
      </c>
      <c r="C27" s="310" t="s">
        <v>367</v>
      </c>
      <c r="D27" s="311">
        <v>0.1782</v>
      </c>
      <c r="E27" s="317" t="s">
        <v>368</v>
      </c>
      <c r="F27" s="311">
        <v>0.1782</v>
      </c>
      <c r="G27" s="318" t="s">
        <v>368</v>
      </c>
    </row>
    <row r="28" spans="2:7" ht="24.95" customHeight="1" x14ac:dyDescent="0.25">
      <c r="B28" s="309" t="s">
        <v>369</v>
      </c>
      <c r="C28" s="310" t="s">
        <v>370</v>
      </c>
      <c r="D28" s="311">
        <v>3.95E-2</v>
      </c>
      <c r="E28" s="317" t="s">
        <v>368</v>
      </c>
      <c r="F28" s="311">
        <v>3.95E-2</v>
      </c>
      <c r="G28" s="318" t="s">
        <v>368</v>
      </c>
    </row>
    <row r="29" spans="2:7" ht="24.95" customHeight="1" x14ac:dyDescent="0.25">
      <c r="B29" s="309" t="s">
        <v>371</v>
      </c>
      <c r="C29" s="310" t="s">
        <v>372</v>
      </c>
      <c r="D29" s="311">
        <v>8.6999999999999994E-3</v>
      </c>
      <c r="E29" s="311">
        <v>6.7000000000000002E-3</v>
      </c>
      <c r="F29" s="311">
        <v>8.6999999999999994E-3</v>
      </c>
      <c r="G29" s="312">
        <v>6.7000000000000002E-3</v>
      </c>
    </row>
    <row r="30" spans="2:7" ht="24.95" customHeight="1" x14ac:dyDescent="0.25">
      <c r="B30" s="309" t="s">
        <v>373</v>
      </c>
      <c r="C30" s="310" t="s">
        <v>374</v>
      </c>
      <c r="D30" s="311">
        <v>0.1076</v>
      </c>
      <c r="E30" s="311">
        <v>8.3299999999999999E-2</v>
      </c>
      <c r="F30" s="311">
        <v>0.1076</v>
      </c>
      <c r="G30" s="312">
        <v>8.3299999999999999E-2</v>
      </c>
    </row>
    <row r="31" spans="2:7" ht="24.95" customHeight="1" x14ac:dyDescent="0.25">
      <c r="B31" s="309" t="s">
        <v>375</v>
      </c>
      <c r="C31" s="310" t="s">
        <v>376</v>
      </c>
      <c r="D31" s="311">
        <v>6.9999999999999999E-4</v>
      </c>
      <c r="E31" s="311">
        <v>5.9999999999999995E-4</v>
      </c>
      <c r="F31" s="311">
        <v>6.9999999999999999E-4</v>
      </c>
      <c r="G31" s="312">
        <v>5.9999999999999995E-4</v>
      </c>
    </row>
    <row r="32" spans="2:7" ht="24.95" customHeight="1" x14ac:dyDescent="0.25">
      <c r="B32" s="309" t="s">
        <v>377</v>
      </c>
      <c r="C32" s="310" t="s">
        <v>378</v>
      </c>
      <c r="D32" s="311">
        <v>7.1999999999999998E-3</v>
      </c>
      <c r="E32" s="311">
        <v>5.5999999999999999E-3</v>
      </c>
      <c r="F32" s="311">
        <v>7.1999999999999998E-3</v>
      </c>
      <c r="G32" s="312">
        <v>5.5999999999999999E-3</v>
      </c>
    </row>
    <row r="33" spans="2:7" ht="24.95" customHeight="1" x14ac:dyDescent="0.25">
      <c r="B33" s="309" t="s">
        <v>379</v>
      </c>
      <c r="C33" s="310" t="s">
        <v>380</v>
      </c>
      <c r="D33" s="311">
        <v>1.1599999999999999E-2</v>
      </c>
      <c r="E33" s="317" t="s">
        <v>368</v>
      </c>
      <c r="F33" s="311">
        <v>1.1599999999999999E-2</v>
      </c>
      <c r="G33" s="318" t="s">
        <v>368</v>
      </c>
    </row>
    <row r="34" spans="2:7" ht="24.95" customHeight="1" x14ac:dyDescent="0.25">
      <c r="B34" s="309" t="s">
        <v>381</v>
      </c>
      <c r="C34" s="310" t="s">
        <v>382</v>
      </c>
      <c r="D34" s="311">
        <v>1.1000000000000001E-3</v>
      </c>
      <c r="E34" s="311">
        <v>8.0000000000000004E-4</v>
      </c>
      <c r="F34" s="311">
        <v>1.1000000000000001E-3</v>
      </c>
      <c r="G34" s="312">
        <v>8.0000000000000004E-4</v>
      </c>
    </row>
    <row r="35" spans="2:7" ht="24.95" customHeight="1" x14ac:dyDescent="0.25">
      <c r="B35" s="309" t="s">
        <v>383</v>
      </c>
      <c r="C35" s="310" t="s">
        <v>384</v>
      </c>
      <c r="D35" s="311">
        <v>8.3500000000000005E-2</v>
      </c>
      <c r="E35" s="311">
        <v>6.4699999999999994E-2</v>
      </c>
      <c r="F35" s="311">
        <v>8.3500000000000005E-2</v>
      </c>
      <c r="G35" s="312">
        <v>6.4699999999999994E-2</v>
      </c>
    </row>
    <row r="36" spans="2:7" ht="24.95" customHeight="1" x14ac:dyDescent="0.25">
      <c r="B36" s="309" t="s">
        <v>385</v>
      </c>
      <c r="C36" s="310" t="s">
        <v>386</v>
      </c>
      <c r="D36" s="311">
        <v>2.9999999999999997E-4</v>
      </c>
      <c r="E36" s="311">
        <v>2.9999999999999997E-4</v>
      </c>
      <c r="F36" s="311">
        <v>2.9999999999999997E-4</v>
      </c>
      <c r="G36" s="312">
        <v>2.9999999999999997E-4</v>
      </c>
    </row>
    <row r="37" spans="2:7" ht="24.95" customHeight="1" x14ac:dyDescent="0.25">
      <c r="B37" s="313" t="s">
        <v>277</v>
      </c>
      <c r="C37" s="314" t="s">
        <v>4</v>
      </c>
      <c r="D37" s="315">
        <f>SUM(D27:D36)</f>
        <v>0.43839999999999996</v>
      </c>
      <c r="E37" s="315">
        <f t="shared" ref="E37:G37" si="1">SUM(E27:E36)</f>
        <v>0.16199999999999998</v>
      </c>
      <c r="F37" s="315">
        <f t="shared" si="1"/>
        <v>0.43839999999999996</v>
      </c>
      <c r="G37" s="316">
        <f t="shared" si="1"/>
        <v>0.16199999999999998</v>
      </c>
    </row>
    <row r="38" spans="2:7" ht="24.95" customHeight="1" x14ac:dyDescent="0.25">
      <c r="B38" s="611" t="s">
        <v>387</v>
      </c>
      <c r="C38" s="612"/>
      <c r="D38" s="612"/>
      <c r="E38" s="612"/>
      <c r="F38" s="612"/>
      <c r="G38" s="613"/>
    </row>
    <row r="39" spans="2:7" ht="24.95" customHeight="1" x14ac:dyDescent="0.25">
      <c r="B39" s="309" t="s">
        <v>388</v>
      </c>
      <c r="C39" s="310" t="s">
        <v>389</v>
      </c>
      <c r="D39" s="311">
        <v>5.1999999999999998E-2</v>
      </c>
      <c r="E39" s="311">
        <v>4.0300000000000002E-2</v>
      </c>
      <c r="F39" s="311">
        <v>5.1999999999999998E-2</v>
      </c>
      <c r="G39" s="312">
        <v>4.0300000000000002E-2</v>
      </c>
    </row>
    <row r="40" spans="2:7" ht="24.95" customHeight="1" x14ac:dyDescent="0.25">
      <c r="B40" s="309" t="s">
        <v>390</v>
      </c>
      <c r="C40" s="310" t="s">
        <v>391</v>
      </c>
      <c r="D40" s="311">
        <v>1.1999999999999999E-3</v>
      </c>
      <c r="E40" s="311">
        <v>8.9999999999999998E-4</v>
      </c>
      <c r="F40" s="311">
        <v>1.1999999999999999E-3</v>
      </c>
      <c r="G40" s="312">
        <v>8.9999999999999998E-4</v>
      </c>
    </row>
    <row r="41" spans="2:7" ht="24.95" customHeight="1" x14ac:dyDescent="0.25">
      <c r="B41" s="309" t="s">
        <v>392</v>
      </c>
      <c r="C41" s="310" t="s">
        <v>393</v>
      </c>
      <c r="D41" s="311">
        <v>5.2600000000000001E-2</v>
      </c>
      <c r="E41" s="311">
        <v>4.07E-2</v>
      </c>
      <c r="F41" s="311">
        <v>5.2600000000000001E-2</v>
      </c>
      <c r="G41" s="312">
        <v>4.07E-2</v>
      </c>
    </row>
    <row r="42" spans="2:7" ht="24.95" customHeight="1" x14ac:dyDescent="0.25">
      <c r="B42" s="309" t="s">
        <v>394</v>
      </c>
      <c r="C42" s="310" t="s">
        <v>395</v>
      </c>
      <c r="D42" s="311">
        <v>3.9E-2</v>
      </c>
      <c r="E42" s="311">
        <v>3.0200000000000001E-2</v>
      </c>
      <c r="F42" s="311">
        <v>3.9E-2</v>
      </c>
      <c r="G42" s="312">
        <v>3.0200000000000001E-2</v>
      </c>
    </row>
    <row r="43" spans="2:7" ht="24.95" customHeight="1" x14ac:dyDescent="0.25">
      <c r="B43" s="309" t="s">
        <v>396</v>
      </c>
      <c r="C43" s="310" t="s">
        <v>397</v>
      </c>
      <c r="D43" s="311">
        <v>4.4000000000000003E-3</v>
      </c>
      <c r="E43" s="311">
        <v>3.3999999999999998E-3</v>
      </c>
      <c r="F43" s="311">
        <v>4.4000000000000003E-3</v>
      </c>
      <c r="G43" s="312">
        <v>3.3999999999999998E-3</v>
      </c>
    </row>
    <row r="44" spans="2:7" ht="24.95" customHeight="1" x14ac:dyDescent="0.25">
      <c r="B44" s="313" t="s">
        <v>398</v>
      </c>
      <c r="C44" s="314" t="s">
        <v>4</v>
      </c>
      <c r="D44" s="315">
        <f>SUM(D39:D43)</f>
        <v>0.1492</v>
      </c>
      <c r="E44" s="315">
        <f t="shared" ref="E44:G44" si="2">SUM(E39:E43)</f>
        <v>0.11550000000000001</v>
      </c>
      <c r="F44" s="315">
        <f t="shared" si="2"/>
        <v>0.1492</v>
      </c>
      <c r="G44" s="316">
        <f t="shared" si="2"/>
        <v>0.11550000000000001</v>
      </c>
    </row>
    <row r="45" spans="2:7" ht="24.95" customHeight="1" x14ac:dyDescent="0.25">
      <c r="B45" s="611" t="s">
        <v>399</v>
      </c>
      <c r="C45" s="612"/>
      <c r="D45" s="612"/>
      <c r="E45" s="612"/>
      <c r="F45" s="612"/>
      <c r="G45" s="613"/>
    </row>
    <row r="46" spans="2:7" ht="24.95" customHeight="1" x14ac:dyDescent="0.25">
      <c r="B46" s="309" t="s">
        <v>400</v>
      </c>
      <c r="C46" s="310" t="s">
        <v>401</v>
      </c>
      <c r="D46" s="311">
        <v>7.3700000000000002E-2</v>
      </c>
      <c r="E46" s="311">
        <v>2.7199999999999998E-2</v>
      </c>
      <c r="F46" s="311">
        <v>0.1613</v>
      </c>
      <c r="G46" s="312">
        <v>5.96E-2</v>
      </c>
    </row>
    <row r="47" spans="2:7" ht="24.95" customHeight="1" x14ac:dyDescent="0.25">
      <c r="B47" s="309" t="s">
        <v>402</v>
      </c>
      <c r="C47" s="319" t="s">
        <v>403</v>
      </c>
      <c r="D47" s="311">
        <v>4.4000000000000003E-3</v>
      </c>
      <c r="E47" s="311">
        <v>3.3999999999999998E-3</v>
      </c>
      <c r="F47" s="311">
        <v>4.5999999999999999E-3</v>
      </c>
      <c r="G47" s="312">
        <v>3.5999999999999999E-3</v>
      </c>
    </row>
    <row r="48" spans="2:7" ht="24.95" customHeight="1" x14ac:dyDescent="0.25">
      <c r="B48" s="313" t="s">
        <v>404</v>
      </c>
      <c r="C48" s="314" t="s">
        <v>4</v>
      </c>
      <c r="D48" s="315">
        <f>SUM(D46:D47)</f>
        <v>7.8100000000000003E-2</v>
      </c>
      <c r="E48" s="315">
        <f t="shared" ref="E48:G48" si="3">SUM(E46:E47)</f>
        <v>3.0599999999999999E-2</v>
      </c>
      <c r="F48" s="315">
        <f t="shared" si="3"/>
        <v>0.16589999999999999</v>
      </c>
      <c r="G48" s="316">
        <f t="shared" si="3"/>
        <v>6.3200000000000006E-2</v>
      </c>
    </row>
    <row r="49" spans="2:7" ht="24.95" customHeight="1" thickBot="1" x14ac:dyDescent="0.3">
      <c r="B49" s="614" t="s">
        <v>405</v>
      </c>
      <c r="C49" s="615"/>
      <c r="D49" s="320">
        <f>SUM(D48,D44,D37,D25)</f>
        <v>0.83369999999999989</v>
      </c>
      <c r="E49" s="320">
        <f>SUM(E48,E44,E37,E25)</f>
        <v>0.47609999999999997</v>
      </c>
      <c r="F49" s="320">
        <f>SUM(F48,F44,F37,F25)</f>
        <v>1.1214999999999999</v>
      </c>
      <c r="G49" s="321">
        <f>SUM(G48,G44,G37,G25)</f>
        <v>0.70870000000000011</v>
      </c>
    </row>
    <row r="50" spans="2:7" ht="24.95" customHeight="1" x14ac:dyDescent="0.25"/>
    <row r="51" spans="2:7" ht="24.95" customHeight="1" x14ac:dyDescent="0.25">
      <c r="B51" s="109" t="s">
        <v>406</v>
      </c>
    </row>
    <row r="52" spans="2:7" ht="24.95" customHeight="1" x14ac:dyDescent="0.25"/>
    <row r="53" spans="2:7" ht="24.95" customHeight="1" x14ac:dyDescent="0.25"/>
    <row r="54" spans="2:7" ht="24.95" customHeight="1" x14ac:dyDescent="0.25"/>
    <row r="55" spans="2:7" ht="24.95" customHeight="1" x14ac:dyDescent="0.25"/>
    <row r="56" spans="2:7" ht="24.95" customHeight="1" x14ac:dyDescent="0.25"/>
    <row r="57" spans="2:7" ht="24.95" customHeight="1" x14ac:dyDescent="0.25"/>
    <row r="58" spans="2:7" ht="24.95" customHeight="1" x14ac:dyDescent="0.25"/>
    <row r="59" spans="2:7" ht="24.95" customHeight="1" x14ac:dyDescent="0.25"/>
    <row r="60" spans="2:7" ht="24.95" customHeight="1" x14ac:dyDescent="0.25"/>
    <row r="61" spans="2:7" ht="24.95" customHeight="1" x14ac:dyDescent="0.25"/>
    <row r="62" spans="2:7" ht="24.95" customHeight="1" x14ac:dyDescent="0.25"/>
    <row r="63" spans="2:7" ht="24.95" customHeight="1" x14ac:dyDescent="0.25"/>
    <row r="64" spans="2:7" ht="24.95" customHeight="1" x14ac:dyDescent="0.25"/>
    <row r="65" ht="24.95" customHeight="1" x14ac:dyDescent="0.25"/>
    <row r="66" ht="24.95" customHeight="1" x14ac:dyDescent="0.25"/>
    <row r="67" ht="24.95" customHeight="1" x14ac:dyDescent="0.25"/>
    <row r="68" ht="24.95" customHeight="1" x14ac:dyDescent="0.25"/>
    <row r="69" ht="24.95" customHeight="1" x14ac:dyDescent="0.25"/>
    <row r="70" ht="24.95" customHeight="1" x14ac:dyDescent="0.25"/>
    <row r="71" ht="24.95" customHeight="1" x14ac:dyDescent="0.25"/>
    <row r="72" ht="24.95" customHeight="1" x14ac:dyDescent="0.25"/>
    <row r="73" ht="24.95" customHeight="1" x14ac:dyDescent="0.25"/>
    <row r="74" ht="24.95" customHeight="1" x14ac:dyDescent="0.25"/>
    <row r="75" ht="24.95" customHeight="1" x14ac:dyDescent="0.25"/>
    <row r="76" ht="24.95" customHeight="1" x14ac:dyDescent="0.25"/>
    <row r="77" ht="24.95" customHeight="1" x14ac:dyDescent="0.25"/>
    <row r="78" ht="24.95" customHeight="1" x14ac:dyDescent="0.25"/>
    <row r="79" ht="24.95" customHeight="1" x14ac:dyDescent="0.25"/>
    <row r="80" ht="24.95" customHeight="1" x14ac:dyDescent="0.25"/>
    <row r="81" ht="24.95" customHeight="1" x14ac:dyDescent="0.25"/>
    <row r="82" ht="24.95" customHeight="1" x14ac:dyDescent="0.25"/>
    <row r="83" ht="24.95" customHeight="1" x14ac:dyDescent="0.25"/>
    <row r="84" ht="24.95" customHeight="1" x14ac:dyDescent="0.25"/>
    <row r="85" ht="24.95" customHeight="1" x14ac:dyDescent="0.25"/>
    <row r="86" ht="24.95" customHeight="1" x14ac:dyDescent="0.25"/>
    <row r="87" ht="24.95" customHeight="1" x14ac:dyDescent="0.25"/>
    <row r="88" ht="24.95" customHeight="1" x14ac:dyDescent="0.25"/>
    <row r="89" ht="24.95" customHeight="1" x14ac:dyDescent="0.25"/>
    <row r="90" ht="24.95" customHeight="1" x14ac:dyDescent="0.25"/>
    <row r="91" ht="24.95" customHeight="1" x14ac:dyDescent="0.25"/>
    <row r="92" ht="24.95" customHeight="1" x14ac:dyDescent="0.25"/>
    <row r="93" ht="24.95" customHeight="1" x14ac:dyDescent="0.25"/>
    <row r="94" ht="24.95" customHeight="1" x14ac:dyDescent="0.25"/>
    <row r="95" ht="24.95" customHeight="1" x14ac:dyDescent="0.25"/>
    <row r="96" ht="24.95" customHeight="1" x14ac:dyDescent="0.25"/>
    <row r="97" ht="24.95" customHeight="1" x14ac:dyDescent="0.25"/>
    <row r="98" ht="24.95" customHeight="1" x14ac:dyDescent="0.25"/>
    <row r="99" ht="24.95" customHeight="1" x14ac:dyDescent="0.25"/>
    <row r="100" ht="24.95" customHeight="1" x14ac:dyDescent="0.25"/>
    <row r="101" ht="24.95" customHeight="1" x14ac:dyDescent="0.25"/>
    <row r="102" ht="24.95" customHeight="1" x14ac:dyDescent="0.25"/>
  </sheetData>
  <mergeCells count="10">
    <mergeCell ref="B26:G26"/>
    <mergeCell ref="B38:G38"/>
    <mergeCell ref="B45:G45"/>
    <mergeCell ref="B49:C49"/>
    <mergeCell ref="B1:G6"/>
    <mergeCell ref="B13:B14"/>
    <mergeCell ref="C13:C14"/>
    <mergeCell ref="D13:E13"/>
    <mergeCell ref="F13:G13"/>
    <mergeCell ref="B15:G1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r:id="rId1"/>
  <headerFooter>
    <oddFooter>&amp;L&amp;"Arial Narrow,Normal"&amp;10&amp;A
&amp;F&amp;R&amp;"Arial Narrow,Normal"&amp;10Página &amp;P de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2156E2C64EAC4288D1C4C998CE28F9" ma:contentTypeVersion="0" ma:contentTypeDescription="Crie um novo documento." ma:contentTypeScope="" ma:versionID="2b6865b6910ca1b9a9fc223af4f1e86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6e078010f886becc52d8153076464ff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1A0806-27C7-48D2-874B-E1231DFD033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FAE452-36B1-4419-AF9A-915F7049E0E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805243C-103E-46E3-8531-12C0F39565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20</vt:i4>
      </vt:variant>
    </vt:vector>
  </HeadingPairs>
  <TitlesOfParts>
    <vt:vector size="34" baseType="lpstr">
      <vt:lpstr>DADOS DA OBRA</vt:lpstr>
      <vt:lpstr>RESUMO</vt:lpstr>
      <vt:lpstr>ORÇ. SINTÉTICO ONERADO</vt:lpstr>
      <vt:lpstr>ORÇ. ANÁLITICO ONERADO</vt:lpstr>
      <vt:lpstr>CRONOGRAMA GERAL</vt:lpstr>
      <vt:lpstr>CURVA ABC - SERVIÇOS</vt:lpstr>
      <vt:lpstr>BDI OBRA - ONERADO</vt:lpstr>
      <vt:lpstr>BDI DIFERENCIADO - ONERADO</vt:lpstr>
      <vt:lpstr>ENCARGOS SOCIAIS</vt:lpstr>
      <vt:lpstr>COTAÇÃO</vt:lpstr>
      <vt:lpstr>ORÇ. SINTÉTICO DESONERADO</vt:lpstr>
      <vt:lpstr>BDI OBRA - DESONERADO</vt:lpstr>
      <vt:lpstr>BDI DIFERENCIADO - DESONERADO</vt:lpstr>
      <vt:lpstr>RESUMO LEVTO</vt:lpstr>
      <vt:lpstr>'BDI DIFERENCIADO - DESONERADO'!Area_de_impressao</vt:lpstr>
      <vt:lpstr>'BDI DIFERENCIADO - ONERADO'!Area_de_impressao</vt:lpstr>
      <vt:lpstr>'BDI OBRA - DESONERADO'!Area_de_impressao</vt:lpstr>
      <vt:lpstr>'BDI OBRA - ONERADO'!Area_de_impressao</vt:lpstr>
      <vt:lpstr>'CRONOGRAMA GERAL'!Area_de_impressao</vt:lpstr>
      <vt:lpstr>'CURVA ABC - SERVIÇOS'!Area_de_impressao</vt:lpstr>
      <vt:lpstr>'DADOS DA OBRA'!Area_de_impressao</vt:lpstr>
      <vt:lpstr>'ENCARGOS SOCIAIS'!Area_de_impressao</vt:lpstr>
      <vt:lpstr>'ORÇ. ANÁLITICO ONERADO'!Area_de_impressao</vt:lpstr>
      <vt:lpstr>'ORÇ. SINTÉTICO DESONERADO'!Area_de_impressao</vt:lpstr>
      <vt:lpstr>'ORÇ. SINTÉTICO ONERADO'!Area_de_impressao</vt:lpstr>
      <vt:lpstr>RESUMO!Area_de_impressao</vt:lpstr>
      <vt:lpstr>'RESUMO LEVTO'!Area_de_impressao</vt:lpstr>
      <vt:lpstr>'CRONOGRAMA GERAL'!Titulos_de_impressao</vt:lpstr>
      <vt:lpstr>'CURVA ABC - SERVIÇOS'!Titulos_de_impressao</vt:lpstr>
      <vt:lpstr>'ORÇ. ANÁLITICO ONERADO'!Titulos_de_impressao</vt:lpstr>
      <vt:lpstr>'ORÇ. SINTÉTICO DESONERADO'!Titulos_de_impressao</vt:lpstr>
      <vt:lpstr>'ORÇ. SINTÉTICO ONERADO'!Titulos_de_impressao</vt:lpstr>
      <vt:lpstr>RESUMO!Titulos_de_impressao</vt:lpstr>
      <vt:lpstr>'RESUMO LEVTO'!Titulos_de_impressao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Alves Silva</dc:creator>
  <cp:lastModifiedBy>Edilson Francisco Rodrigues</cp:lastModifiedBy>
  <cp:lastPrinted>2022-09-26T11:52:42Z</cp:lastPrinted>
  <dcterms:created xsi:type="dcterms:W3CDTF">2012-03-26T12:45:23Z</dcterms:created>
  <dcterms:modified xsi:type="dcterms:W3CDTF">2022-11-08T12:53:42Z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0x010100AE2156E2C64EAC4288D1C4C998CE28F9</vt:lpwstr>
  </property>
</Properties>
</file>